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15" yWindow="65461" windowWidth="16770" windowHeight="12990" activeTab="1"/>
  </bookViews>
  <sheets>
    <sheet name="Orçamento" sheetId="1" r:id="rId1"/>
    <sheet name="CRONOGRAMA" sheetId="2" r:id="rId2"/>
  </sheets>
  <definedNames>
    <definedName name="_xlnm.Print_Area" localSheetId="1">'CRONOGRAMA'!$A$1:$U$30</definedName>
    <definedName name="_xlnm.Print_Area" localSheetId="0">'Orçamento'!$B$3:$N$222</definedName>
    <definedName name="_xlnm.Print_Titles" localSheetId="0">'Orçamento'!$3:$14</definedName>
  </definedNames>
  <calcPr fullCalcOnLoad="1"/>
</workbook>
</file>

<file path=xl/sharedStrings.xml><?xml version="1.0" encoding="utf-8"?>
<sst xmlns="http://schemas.openxmlformats.org/spreadsheetml/2006/main" count="698" uniqueCount="410">
  <si>
    <t>EMPREENDIMENTO</t>
  </si>
  <si>
    <t>Nome:</t>
  </si>
  <si>
    <t>Endereço:</t>
  </si>
  <si>
    <t>Proponente:</t>
  </si>
  <si>
    <t>Descrição do serviço</t>
  </si>
  <si>
    <t>Unid.</t>
  </si>
  <si>
    <t>Quant.</t>
  </si>
  <si>
    <t>Custo Unitário</t>
  </si>
  <si>
    <t>Custo Total</t>
  </si>
  <si>
    <t>% item</t>
  </si>
  <si>
    <t>% Total</t>
  </si>
  <si>
    <t>CUSTO TOTAL DO ÍTEM</t>
  </si>
  <si>
    <t>COMPLEMENTAÇÃO DA OBRA</t>
  </si>
  <si>
    <t>CUSTO DIRETO DA CONSTRUÇÃO</t>
  </si>
  <si>
    <t>BDI (%)</t>
  </si>
  <si>
    <t>Data</t>
  </si>
  <si>
    <t>Código SINAPI</t>
  </si>
  <si>
    <t>74209/001</t>
  </si>
  <si>
    <t>PLACA DE OBRA EM CHAPA DE ACO GALVANIZADO</t>
  </si>
  <si>
    <t>74242/001</t>
  </si>
  <si>
    <t>BARRACAO DE OBRA EM CHAPA DE MADEIRA COMPENSADA COM BANHEIRO, COBERTURA EM FIBROCIMENTO 4MM, COM INSTALAÇÕES HIDROSSANITÁRIAS E ELÉTRICAS</t>
  </si>
  <si>
    <t>M2</t>
  </si>
  <si>
    <t>74164/004</t>
  </si>
  <si>
    <t>M3</t>
  </si>
  <si>
    <t>LASTRO DE BRITA</t>
  </si>
  <si>
    <t>74200/001</t>
  </si>
  <si>
    <t>M</t>
  </si>
  <si>
    <t>UNID</t>
  </si>
  <si>
    <t>73910/004</t>
  </si>
  <si>
    <t>73910/006</t>
  </si>
  <si>
    <t>PORTA DE MADEIXA COMPENSADA LISA PARA CERA OU VERNIZ, 80X210CM, INCLUSO ADUELA 1A, ALIZAR 1A E DOBRADIÇAS COM ANEL</t>
  </si>
  <si>
    <t>73933/003</t>
  </si>
  <si>
    <t>CHAPISCO TRACO 1:3 (CIMENTO E AREIA MEDIA), ESPESSURA 0,5CM, PREPARO MECANICO DA ARGAMASSA</t>
  </si>
  <si>
    <t>ACABAMENTOS INTERNOS</t>
  </si>
  <si>
    <t>EMBOCO PAULISTA TRACO 1:2:8 (CIMENTO, CAL E AREIA MEDIA), ESPESSURA 1,5CM, PREPARO MECANICO DA ARGAMASSA</t>
  </si>
  <si>
    <t>EMASSAMENTO COM MASSA PVA, DUAS DEMAOS</t>
  </si>
  <si>
    <t>73955/002</t>
  </si>
  <si>
    <t>79495/001</t>
  </si>
  <si>
    <t>PINTURA PVA 2 DEMAOS INCLUSO LIQUIDO PARA BRILHO NA ULTIMA DEMAO</t>
  </si>
  <si>
    <t>AZULEJO15X15CM, 1A QUALIDADE, ASSENTADO COM ARGAMASSA PRE-FABRICADA DE CIMENTO COLANTE, JUNTAS EM AMARRACAO, INCLUINDO SERVICO DE REJUNTAMENTO</t>
  </si>
  <si>
    <t>ACABAMENTOS EXTERNOS</t>
  </si>
  <si>
    <t>73751/001</t>
  </si>
  <si>
    <t>FUNDO SELADOR PVA, UMA DEMÃO</t>
  </si>
  <si>
    <t>73920/001</t>
  </si>
  <si>
    <t>REGULARIZAÇAO DE PISO/BASE EM ARGAMASSA TRACO 1:3 (CIMENTO E AREIA), ESPESSURA 2,0CM, PREPARO MANUAL</t>
  </si>
  <si>
    <t>PISO CERAMICO PADRAO MEDIO PEI 5 ASSENTADO SOBRE ARGAMASSA 1:4 (CIMENTO E AREIA) E REJUNTADO COM CIMENTO BRANCO</t>
  </si>
  <si>
    <t>73829/001</t>
  </si>
  <si>
    <t>INSTALAÇÕES ELÉTRICAS</t>
  </si>
  <si>
    <t>CAIXA DE PASSAGEM PVC 4X2"</t>
  </si>
  <si>
    <t>CAIXA DE PASSAGEM PVC 3" OCTOGONAL</t>
  </si>
  <si>
    <t>73860/007</t>
  </si>
  <si>
    <t>CABO DE COBRE ISOLADO PVC 450/750V 1,5MM²</t>
  </si>
  <si>
    <t>CABO DE COBRE ISOLADO PVC 450/750V 2,5MM²</t>
  </si>
  <si>
    <t>CABO DE COBRE ISOLADO PVC 450/750V 4,5MM²</t>
  </si>
  <si>
    <t>CABO DE COBRE ISOLADO PVC 450/750V 10MM²</t>
  </si>
  <si>
    <t>73860/008</t>
  </si>
  <si>
    <t>73860/009</t>
  </si>
  <si>
    <t>73860/011</t>
  </si>
  <si>
    <t>CAIXA DE PASSAGEM 30X30X40 COM TAMPA E DRENO</t>
  </si>
  <si>
    <t>INTERRUPTOR PARALELO DE EMBUTIR 1 TECLA</t>
  </si>
  <si>
    <t>INTERRUPTOR SIMPLES DE EMBUTIR 2 TECLAS</t>
  </si>
  <si>
    <t>TOMADA DE EMBUTIR 2P+T 10A</t>
  </si>
  <si>
    <t>TOMADA DE EMBUTIR 2P+T 20A</t>
  </si>
  <si>
    <t>DISJUNTOR BIPOLAR 10A A 50A</t>
  </si>
  <si>
    <t>74130/003</t>
  </si>
  <si>
    <t>ELETRODUTO DE PVC FLEXIVEL 3/4"</t>
  </si>
  <si>
    <t>ELETRODUTO DE PVC FLEXIVEL 1"</t>
  </si>
  <si>
    <t>ELETRODUTO DE PVC FLEXIVEL 2"</t>
  </si>
  <si>
    <t>LUMINARIA DE SOBREPOR 2X40W</t>
  </si>
  <si>
    <t>73953/006</t>
  </si>
  <si>
    <t>LUMINARIA GLOBO VIDRO PLAFONIER 100W</t>
  </si>
  <si>
    <t>74041/002</t>
  </si>
  <si>
    <t>REATOR PARA LAMPADA FLUORESCENTE 2X40W</t>
  </si>
  <si>
    <t>LAMPADA INCANDESCENTE 100W</t>
  </si>
  <si>
    <t>LAMPADA FLUORESCENTE 40W</t>
  </si>
  <si>
    <t>74131/003</t>
  </si>
  <si>
    <t>INSTALAÇÕES HIDROSSANITÁRIAS</t>
  </si>
  <si>
    <t>CAIXA DE INSPEÇÃO 80X80X80CM EM ALVENARIA</t>
  </si>
  <si>
    <t>CAIXA SIFONADA PVC 150X150X50MM COM GRELHA REDONDA</t>
  </si>
  <si>
    <t>CURVA PVC CURTA 40MM - ESGOTO</t>
  </si>
  <si>
    <t>JOELHO PVC 45 40MM - ESGOTO</t>
  </si>
  <si>
    <t>JOELHO PVC 45 50MM - ESGOTO</t>
  </si>
  <si>
    <t>JOELHO PVC 45 75MM - ESGOTO</t>
  </si>
  <si>
    <t>JOELHO PVC 45 100MM - ESGOTO</t>
  </si>
  <si>
    <t>JOELHO PVC 90 100MM - ESGOTO</t>
  </si>
  <si>
    <t>74165/001</t>
  </si>
  <si>
    <t>TUBO PVC ESGOTO 40MM</t>
  </si>
  <si>
    <t>TUBO PVC ESGOTO 50MM</t>
  </si>
  <si>
    <t>TUBO PVC ESGOTO 75MM</t>
  </si>
  <si>
    <t>TUBO PVC ESGOTO 100MM</t>
  </si>
  <si>
    <t>74165/002</t>
  </si>
  <si>
    <t>74165/003</t>
  </si>
  <si>
    <t>74165/004</t>
  </si>
  <si>
    <t>JOELHO PVC 90 75MM - ESGOTO</t>
  </si>
  <si>
    <t>74198/002</t>
  </si>
  <si>
    <t>SUMIDOURO EM ALVENARIA DE TIJOLO CERAMICO MACICO COM TAMPA EM CONCRETO ARMADO</t>
  </si>
  <si>
    <t>REGISTRO DE GAVETA BRUTO 3/4"</t>
  </si>
  <si>
    <t>74176/001</t>
  </si>
  <si>
    <t>ADAPTADOR P/ CX D'ÁGUA 75MM-2.1/2"</t>
  </si>
  <si>
    <t>ADAPTADOR P/ CX D'ÁGUA 25MM-3/4"</t>
  </si>
  <si>
    <t>JOELHO PVC 90 25MM</t>
  </si>
  <si>
    <t>JOELHO PVC 90 50MM</t>
  </si>
  <si>
    <t>JOELHO COM ROSCA DE LATAO 25MM-1/2"</t>
  </si>
  <si>
    <t>TUBO PVC AF 25MM</t>
  </si>
  <si>
    <t>TUBO PVC AF 50MM</t>
  </si>
  <si>
    <t>75051/002</t>
  </si>
  <si>
    <t>75051/005</t>
  </si>
  <si>
    <t>BANCADA DE GRANITO PARA LAVATORIO 0,5X0,6M</t>
  </si>
  <si>
    <t>TORNEIRA CROMADA PARA LAVATORIO</t>
  </si>
  <si>
    <t>LIMPEZA FINAL DA OBRA</t>
  </si>
  <si>
    <t>74106/001</t>
  </si>
  <si>
    <t>IMPERMEABILIZACAO DE ESTRUTURAS ENTERRADAS, COM TINTA ASFÁLTICA, DUAS DEMÃOS</t>
  </si>
  <si>
    <t>ARMACAO DE ACO CA60 DIAM 3,4 A 6,0MM - FORNECIMENTO, CORTE (10% PERDA), DOBRA E COLOCACAO</t>
  </si>
  <si>
    <t>KG</t>
  </si>
  <si>
    <t>73942/002</t>
  </si>
  <si>
    <t>74254/002</t>
  </si>
  <si>
    <t>74254/001</t>
  </si>
  <si>
    <t>ARMACAO ACO CA50 DIAM 6,3 A 12,5MM - FORNECIMENTO, CORTE (10% PERDA), DOBRA E COLOCAÇÃO</t>
  </si>
  <si>
    <t>ARMACAO ACO CA50 DIAM 16,0 A 25,0MM - FORNECIMENTO, CORTE (10% PERDA), DOBRA E COLOCAÇÃO</t>
  </si>
  <si>
    <t>CONCRETO FCK = 25MPA, VIRADO EM BETONEIRA, SEM LANCAMENTO</t>
  </si>
  <si>
    <t>73973/001</t>
  </si>
  <si>
    <t>74157/003</t>
  </si>
  <si>
    <t>LANCAMENTO MANUAL DE CONCRETO</t>
  </si>
  <si>
    <t>FORMA PARA ESTRUTURAS DE CONCRETO EM CHAPA DE MADEIRA COMPENSADA PLASTIFICADA, DE 1,10 X 2,20, ESPESSURA = 12MM, 02 UTILIZACOES</t>
  </si>
  <si>
    <t>ESCORAMENTO DE LAJE PRE MOLDADA</t>
  </si>
  <si>
    <t>74107/001</t>
  </si>
  <si>
    <t>74074/004</t>
  </si>
  <si>
    <t>FORMA TABUA P/ CONCRETO EM FUNDACAO SEM REAPROVEITAMENTO</t>
  </si>
  <si>
    <t>Tabela Base SINAPI:</t>
  </si>
  <si>
    <t>COMP.</t>
  </si>
  <si>
    <t>RODAPE EM CERAMICA PADRAO MEDIO PEI 4 ALTURA 8CM ASSENTADO SOBRE ARGAMASSA DE CIMENTO COLANTE E REJUNTADO COM CIMENTO BRANCO</t>
  </si>
  <si>
    <t>74141/003</t>
  </si>
  <si>
    <t>LAJE PRÉ-MOLDADA VÃO 5,20 COMPLETA</t>
  </si>
  <si>
    <t>Ítem</t>
  </si>
  <si>
    <t>1.1</t>
  </si>
  <si>
    <t>1.2</t>
  </si>
  <si>
    <t>1.3</t>
  </si>
  <si>
    <t>2.1</t>
  </si>
  <si>
    <t>2.1.1</t>
  </si>
  <si>
    <t>2.1.2</t>
  </si>
  <si>
    <t>2.2</t>
  </si>
  <si>
    <t>2.2.1</t>
  </si>
  <si>
    <t>2.2.2</t>
  </si>
  <si>
    <t>2.2.4</t>
  </si>
  <si>
    <t>2.2.5</t>
  </si>
  <si>
    <t>2.3</t>
  </si>
  <si>
    <t>2.3.1</t>
  </si>
  <si>
    <t>2.3.2</t>
  </si>
  <si>
    <t>2.3.3</t>
  </si>
  <si>
    <t>2.3.4</t>
  </si>
  <si>
    <t>2.3.5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</si>
  <si>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</si>
  <si>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</si>
  <si>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</si>
  <si>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</si>
  <si>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</si>
  <si>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</si>
  <si>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</si>
  <si>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</si>
  <si>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</si>
  <si>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</si>
  <si>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</si>
  <si>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</si>
  <si>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</si>
  <si>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</si>
  <si>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</si>
  <si>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</si>
  <si>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</si>
  <si>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</si>
  <si>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</si>
  <si>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</si>
  <si>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</si>
  <si>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</si>
  <si>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6.1</t>
  </si>
  <si>
    <t>6.1.2</t>
  </si>
  <si>
    <t>6.1.1</t>
  </si>
  <si>
    <t>6.1.3</t>
  </si>
  <si>
    <t>6.1.4</t>
  </si>
  <si>
    <t>6.1.5</t>
  </si>
  <si>
    <t>6.1.6</t>
  </si>
  <si>
    <t>6.2</t>
  </si>
  <si>
    <t>6.2.1</t>
  </si>
  <si>
    <t>6.2.2</t>
  </si>
  <si>
    <t>6.2.3</t>
  </si>
  <si>
    <t>6.2.4</t>
  </si>
  <si>
    <t>7.1</t>
  </si>
  <si>
    <t>7.2</t>
  </si>
  <si>
    <t>7.3</t>
  </si>
  <si>
    <t>7.4</t>
  </si>
  <si>
    <t>7.5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</si>
  <si>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</si>
  <si>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</si>
  <si>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</si>
  <si>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</si>
  <si>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</si>
  <si>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</si>
  <si>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</si>
  <si>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</si>
  <si>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</si>
  <si>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</si>
  <si>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</si>
  <si>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</si>
  <si>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</si>
  <si>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</si>
  <si>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</si>
  <si>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</si>
  <si>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</si>
  <si>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</si>
  <si>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</si>
  <si>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</si>
  <si>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</si>
  <si>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</si>
  <si>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</si>
  <si>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</si>
  <si>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</si>
  <si>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</si>
  <si>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</si>
  <si>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</si>
  <si>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</si>
  <si>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</si>
  <si>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</si>
  <si>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</si>
  <si>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</si>
  <si>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</si>
  <si>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</si>
  <si>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</si>
  <si>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</si>
  <si>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</si>
  <si>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</si>
  <si>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</si>
  <si>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</si>
  <si>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</si>
  <si>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</si>
  <si>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</si>
  <si>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</si>
  <si>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</si>
  <si>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8.2.23</t>
  </si>
  <si>
    <t>8.2.24</t>
  </si>
  <si>
    <t>8.2.25</t>
  </si>
  <si>
    <t>8.2.26</t>
  </si>
  <si>
    <t>8.2.27</t>
  </si>
  <si>
    <t>8.2.28</t>
  </si>
  <si>
    <t>8.2.29</t>
  </si>
  <si>
    <t>8.2.30</t>
  </si>
  <si>
    <t>8.2.31</t>
  </si>
  <si>
    <t>8.2.32</t>
  </si>
  <si>
    <t>8.2.33</t>
  </si>
  <si>
    <t>8.2.34</t>
  </si>
  <si>
    <t>8.2.35</t>
  </si>
  <si>
    <t>8.2.36</t>
  </si>
  <si>
    <t>9.1</t>
  </si>
  <si>
    <t>9.2</t>
  </si>
  <si>
    <t>FOLHA No                  01</t>
  </si>
  <si>
    <t>ITEM</t>
  </si>
  <si>
    <t>DISCRIMINAÇÃO</t>
  </si>
  <si>
    <t>PERÍODO</t>
  </si>
  <si>
    <t>TOTAL PARCIAL</t>
  </si>
  <si>
    <t>Etapa 01</t>
  </si>
  <si>
    <t>Etapa 02</t>
  </si>
  <si>
    <t>Etapa 03</t>
  </si>
  <si>
    <t>Etapa 04</t>
  </si>
  <si>
    <t>Etapa 05</t>
  </si>
  <si>
    <t>Etapa 06</t>
  </si>
  <si>
    <t>Etapa 07</t>
  </si>
  <si>
    <t>R$</t>
  </si>
  <si>
    <t>%</t>
  </si>
  <si>
    <t>TOTAL NO MÊS (SIMPLES)</t>
  </si>
  <si>
    <t>TOTAL NO MÊS (ACUMULADO)</t>
  </si>
  <si>
    <t>Valor c/BDI (%)</t>
  </si>
  <si>
    <t xml:space="preserve">SERVIÇOS PRELIMINARES E GERAIS </t>
  </si>
  <si>
    <t>9.3</t>
  </si>
  <si>
    <t>DIVISÓRIA LEVE EM PVC</t>
  </si>
  <si>
    <t>10.1</t>
  </si>
  <si>
    <t>10.2</t>
  </si>
  <si>
    <t>11.1</t>
  </si>
  <si>
    <t>CHUVEIRO ELETRICO COMUM TIPO DUCHA</t>
  </si>
  <si>
    <t>Garagem municipal, com área total de 1228,08m²</t>
  </si>
  <si>
    <t>Rua José Gaspari, esquina Rua "A" - Marema - SC</t>
  </si>
  <si>
    <t>Municipio de Marema - SC</t>
  </si>
  <si>
    <t>Nédio Antonio Cassol</t>
  </si>
  <si>
    <t>LIGAÇÃO PROVISÓRIA DE ÁGUA E LUZ</t>
  </si>
  <si>
    <t>REATERRO DE VALAS ATÉ 1,5m</t>
  </si>
  <si>
    <t>ESCAVAÇÃO E REATERRO FUNDAÇÕES E VIGAS BALDRAME</t>
  </si>
  <si>
    <t>FUNDAÇÃO PRÉ MOLDADO</t>
  </si>
  <si>
    <t>VIGAS BALDRAME PRÉ MOLDADO</t>
  </si>
  <si>
    <t>VIGAS BALDRAME MOLDADA IN LOCO</t>
  </si>
  <si>
    <t>FUNDAÇÃO  MOLDADAS IN LOCO</t>
  </si>
  <si>
    <t>2.4</t>
  </si>
  <si>
    <t>2.5</t>
  </si>
  <si>
    <t>PILARES PRÉ MOLDADOS</t>
  </si>
  <si>
    <t>VIGAS PRÉ MOLDADAS</t>
  </si>
  <si>
    <t xml:space="preserve">INFRAESTRUTURA </t>
  </si>
  <si>
    <t>SUPRA ESTRUTURA</t>
  </si>
  <si>
    <t>PILARES MOLDADO IN LOCO</t>
  </si>
  <si>
    <t>VIGAS BALDRAME E COBERTURA MOLDADA IN LOCO</t>
  </si>
  <si>
    <t>LAJE EXECUTADA IN LOCO</t>
  </si>
  <si>
    <t>JANELA DE CORRER, DE FERRO, INCLUINDO GUARNIÇÕES E VIDRO</t>
  </si>
  <si>
    <t>PORTA DE MADEIRA COMPENSADA LISA PARA CERA OU VERNIZ, 70X195CM, INCLUSO ADUELA 1A, ALIZAR 1A E DOBRADIÇAS COM ANEL</t>
  </si>
  <si>
    <t>PORTA METALICA LISA , 90X210CM, INCLUSO BATENTE, FECHADURA E DOBRADIÇAS</t>
  </si>
  <si>
    <t>PORTA METALICA LISA , 80X210CM, INCLUSO BATENTE, FECHADURA E DOBRADIÇAS</t>
  </si>
  <si>
    <t>PAREDES E ABERTURAS</t>
  </si>
  <si>
    <t>COBERTURAS GALPÃO PRÉ MOLDADO</t>
  </si>
  <si>
    <t>TERÇAS METALICAS 100X40X200mm, INCLUINDO FIXAÇÃO E ACESSORIOS</t>
  </si>
  <si>
    <t>CALHA EM CHAPA DE ACO GALVANIZADO NUMERO 24, DESENVOLVIMENTO DE 80CM</t>
  </si>
  <si>
    <t>VERGA 10X10CM EM CONCRETO ARMADO(PREPARO COM BETONEIRA) AÇO CA60, BITOLA FINA, INCLUSIVE FORMAS TABUA 3A, NAS ABERTURAS DA EDIFICAÇÃO</t>
  </si>
  <si>
    <t>PAVIMENTAÇÃO INTERNA E EXTERNA</t>
  </si>
  <si>
    <t>PAVIMENTO EM BLOCOS DE CONCRETO INTERTRAVADOS, COM ESPESSURA DE 7cm, INCLUINDO BASE E ASSENTAMENTO</t>
  </si>
  <si>
    <t xml:space="preserve">INSTALAÇOES E APARELHOS </t>
  </si>
  <si>
    <t>DISJUNTOR TRIPOLAR 70A</t>
  </si>
  <si>
    <t>QUADRO DE DISTRIBUIÇÃO DE ENERGIA EM CHAPA DE AÇO PARA 24 DISJUNTORES, COM BARRAMENTO TRIFASICO E NEUTRO</t>
  </si>
  <si>
    <t>REDUCAO DE PVC SOLDAVEL 50X32MM</t>
  </si>
  <si>
    <t>REDUCAO DE PVC SOLDAVEL 32x25MM</t>
  </si>
  <si>
    <t>JOELHO PVC 90 32MM</t>
  </si>
  <si>
    <t>TE DE REDUÇAO 50MM - 32MM</t>
  </si>
  <si>
    <t>TUBO PVC AF 32MM</t>
  </si>
  <si>
    <t>MICTÓRIO LOUCA BRANCA COM CONJUNTO PARA FIXACAO</t>
  </si>
  <si>
    <t>BANCADA DE LOUÇA PADRÃO PNE, COM ACESSORIOS E FIXAÇÃO</t>
  </si>
  <si>
    <t>VASO SANITARIO PNE C/ CAIXA ACOMPLADA SIFONADO LOUCA BRANCA COM CONJUNTO PARA FIXACAO</t>
  </si>
  <si>
    <t>BARRA DE APOIO TUBULAR INOX PADRÃO PNE</t>
  </si>
  <si>
    <t>PREVENTIVO CONTRA INCÊNDIO</t>
  </si>
  <si>
    <t>TUBULAÇÃO EM AÇO GALVANIZADO 2.1/2", para hidrante</t>
  </si>
  <si>
    <t>CURVA 90° EM AÇO GALVANIZADO 2/12", PARA HIDRANTE</t>
  </si>
  <si>
    <t>CURVA 45° EM AÇO GALVANIZADO 2/12", PARA HIDRANTE</t>
  </si>
  <si>
    <t>TÊ EM AÇO GALVANIZADO 2/12", PARA HIDRANTE</t>
  </si>
  <si>
    <t>BUCHA DE REDUÇÃO 2.1/2 PARA 1.1/2, HIDRANTE</t>
  </si>
  <si>
    <t>ABRIGO PARA HIDRANTE, 75X45X17cm, COM REGISTRO GLOBO, ADAPTADOR, MAGUEIRA E ESGUICHO</t>
  </si>
  <si>
    <t>HIDRANTE DE RECALQUE COM CAIXA, TAMPA E ACESSORIOS</t>
  </si>
  <si>
    <t>73775/001</t>
  </si>
  <si>
    <t>EXTINTOR DE INCENDIO PÓ QUIMICO 4 KG FORNEC. E INSTAL.</t>
  </si>
  <si>
    <t>73764/004</t>
  </si>
  <si>
    <t>MERCADO</t>
  </si>
  <si>
    <t>BLOCO AUTONOMO EMERGENCIA, 2X 55W, LED, COM INSTALAÇÃO</t>
  </si>
  <si>
    <t>SINALIZAÇÃO DE SAIDA EMERGENCIA, AUTONOMA COM INST.</t>
  </si>
  <si>
    <t>LUMINARIA DE EMERGENCIA LED, 9W, COM INSTALAÇÃO</t>
  </si>
  <si>
    <t>TANQUE DE PVC BRANCA COM ACESSORIOS E INSTALAÇÃO</t>
  </si>
  <si>
    <t>74234/001</t>
  </si>
  <si>
    <t>73774/001</t>
  </si>
  <si>
    <t>DIVISÓRIA EM MARMORITE, ESP=35MM COM ACESSO. E FIXAÇÃO</t>
  </si>
  <si>
    <t>75051/003</t>
  </si>
  <si>
    <t>74130/005</t>
  </si>
  <si>
    <t>SISTEMA DE TRATAMENTO DE EFLUENTES</t>
  </si>
  <si>
    <t>BIOFILTRO, CAP= 4000 LITROS EM PVC, COM ACESSORIOS E INST.</t>
  </si>
  <si>
    <t>BIOREATOR, CAP= 4000 LITROS EM PVC, COM ACESSORIOS E INST.</t>
  </si>
  <si>
    <t>CENTRAL DE ALARME COMPLETA, ACIONADORES E INSTAL.</t>
  </si>
  <si>
    <t>CABO DE COBRE NU 50mm, INCLUINDO INSTALAÇÃO</t>
  </si>
  <si>
    <t>CABO DE COBRE NU 35mm, INCLUINDO INSTALAÇÃO</t>
  </si>
  <si>
    <t>HASTE DE ATERRAMENTO, TIPO COPPERWELD, 3M AG</t>
  </si>
  <si>
    <t>ESCAVAÇÃO DE VALAS 2 A 3m</t>
  </si>
  <si>
    <t>79517/001</t>
  </si>
  <si>
    <t>73960/001</t>
  </si>
  <si>
    <t>UNI</t>
  </si>
  <si>
    <t>TELHAMENTO COM TELHAS DE ALUZINCO, ESPESSURA 5MM, FIXADAS EM TERÇAS METALICAS, INCLUINDO ACESSORIOS</t>
  </si>
  <si>
    <t>ABRIGO DE GÁS, COMPLETO, COM ACESSORIOS E INSTALAÇÃO</t>
  </si>
  <si>
    <t>73972/001</t>
  </si>
  <si>
    <t>ALVENARIA EM TIJOLO CERAMICO FURADO 9X19X19, 1/2 VEZ (ESPESSURA 19CM), ASSENTADO EM ARGAMASSA TRAÇO 1:4, PREPARO MANUAL, JUNTA 1CM</t>
  </si>
  <si>
    <t>Engenheiro Civil - CREA 015.926-1</t>
  </si>
  <si>
    <t>OUTUBRO de 2014</t>
  </si>
  <si>
    <t xml:space="preserve">ORÇAMENTO DISCRIMINATIVO </t>
  </si>
  <si>
    <t>2.1.3</t>
  </si>
  <si>
    <t>2.3.6</t>
  </si>
  <si>
    <t>2.4.1</t>
  </si>
  <si>
    <t>2.4.2</t>
  </si>
  <si>
    <t>2.5.3</t>
  </si>
  <si>
    <t>2.4.3</t>
  </si>
  <si>
    <t>2.4.4</t>
  </si>
  <si>
    <t>2.4.5</t>
  </si>
  <si>
    <t>2.5.1</t>
  </si>
  <si>
    <t>2.5.2</t>
  </si>
  <si>
    <t>2.5.4</t>
  </si>
  <si>
    <t>2.5.5</t>
  </si>
  <si>
    <t>2.5.6</t>
  </si>
  <si>
    <t>6.2.5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</si>
  <si>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</si>
  <si>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</si>
  <si>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</si>
  <si>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</si>
  <si>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</si>
  <si>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</si>
  <si>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</si>
  <si>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</si>
  <si>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</si>
  <si>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</si>
  <si>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</si>
  <si>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</si>
  <si>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</si>
  <si>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</si>
  <si>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REVESTIMENTOS E PINTURA</t>
  </si>
  <si>
    <t>DATA :03/11/2014</t>
  </si>
  <si>
    <t>Periodicidade das Estapas: 1 MÊS</t>
  </si>
  <si>
    <t>PLANILHA DE CRONOGRAMA FÍSICO-FINANCEIRO</t>
  </si>
  <si>
    <t>MUNICÍPIO: MAREMA - SC</t>
  </si>
  <si>
    <t>PROJETO: GARAGEM MUNICIPAL</t>
  </si>
  <si>
    <t>LOCALIZAÇÃO: RUA JOSÉ GASPARI, ESQUINA RUA"A"</t>
  </si>
  <si>
    <t>Data de referência dos custos: OUTUBRO 2014</t>
  </si>
  <si>
    <t>______________________________</t>
  </si>
  <si>
    <t>3.4</t>
  </si>
  <si>
    <t>3.4.1</t>
  </si>
  <si>
    <t>3.4.2</t>
  </si>
  <si>
    <t>3.4.3</t>
  </si>
  <si>
    <t>3.4.4</t>
  </si>
  <si>
    <t>Responsável Técnico:</t>
  </si>
  <si>
    <t>CREA:</t>
  </si>
  <si>
    <t>015.926-1</t>
  </si>
  <si>
    <t>Dayana M. Cassol Zanella</t>
  </si>
  <si>
    <t>CAU:</t>
  </si>
  <si>
    <t>A59369-9</t>
  </si>
  <si>
    <t>Arquiteta e Urbanista - CAU A56369-9</t>
  </si>
  <si>
    <t>Município de Marema/SC</t>
  </si>
  <si>
    <t>Proprietário CNPJ: 78.509.072/0001 - 56</t>
  </si>
  <si>
    <t>________________________________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</si>
</sst>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dd/mm/yy;@"/>
    <numFmt numFmtId="179" formatCode="#,##0.00;[Red]#,##0.00"/>
    <numFmt numFmtId="180" formatCode="0.00;[Red]0.00"/>
    <numFmt numFmtId="181" formatCode="#,##0.0;[Red]#,##0.0"/>
    <numFmt numFmtId="182" formatCode="#,##0;[Red]#,##0"/>
    <numFmt numFmtId="183" formatCode="0.00000"/>
    <numFmt numFmtId="184" formatCode="0.0000"/>
    <numFmt numFmtId="185" formatCode="0.000"/>
    <numFmt numFmtId="186" formatCode="[$-409]dddd\,\ mmmm\ dd\,\ yyyy"/>
    <numFmt numFmtId="187" formatCode="[$-416]dddd\,\ d&quot; de &quot;mmmm&quot; de &quot;yyyy"/>
    <numFmt numFmtId="188" formatCode="[$-416]mmmm\-yy;@"/>
    <numFmt numFmtId="189" formatCode="&quot;R$&quot;\ #,##0.00"/>
    <numFmt numFmtId="190" formatCode="_-[$R$-416]\ * #,##0.00_-;\-[$R$-416]\ * #,##0.00_-;_-[$R$-416]\ * &quot;-&quot;??_-;_-@_-"/>
    <numFmt numFmtId="191" formatCode="#,##0.0000000"/>
    <numFmt numFmtId="192" formatCode="#,##0.00_ ;\-#,##0.00\ "/>
    <numFmt numFmtId="193" formatCode="_-* #,##0.000_-;\-* #,##0.000_-;_-* &quot;-&quot;??_-;_-@_-"/>
    <numFmt numFmtId="194" formatCode="_-* #,##0.0000_-;\-* #,##0.0000_-;_-* &quot;-&quot;??_-;_-@_-"/>
    <numFmt numFmtId="195" formatCode="_-* #,##0.0_-;\-* #,##0.0_-;_-* &quot;-&quot;??_-;_-@_-"/>
    <numFmt numFmtId="196" formatCode="_-* #,##0_-;\-* #,##0_-;_-* &quot;-&quot;??_-;_-@_-"/>
    <numFmt numFmtId="197" formatCode="#,##0.00&quot; &quot;;&quot; (&quot;#,##0.00&quot;)&quot;;&quot; -&quot;#&quot; &quot;;@&quot; &quot;"/>
    <numFmt numFmtId="198" formatCode="#,##0.00&quot; &quot;;&quot;-&quot;#,##0.00&quot; &quot;;&quot; -&quot;#&quot; &quot;;@&quot; &quot;"/>
    <numFmt numFmtId="199" formatCode="[$R$-416]&quot; &quot;#,##0.00;[Red]&quot;-&quot;[$R$-416]&quot; &quot;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u val="single"/>
      <sz val="10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 style="double"/>
    </border>
    <border>
      <left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3" fillId="0" borderId="0" applyNumberFormat="0" applyBorder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 applyNumberFormat="0" applyBorder="0" applyProtection="0">
      <alignment/>
    </xf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97" fontId="43" fillId="0" borderId="0" applyBorder="0" applyProtection="0">
      <alignment/>
    </xf>
    <xf numFmtId="197" fontId="43" fillId="0" borderId="0" applyBorder="0" applyProtection="0">
      <alignment/>
    </xf>
    <xf numFmtId="0" fontId="50" fillId="0" borderId="0" applyNumberFormat="0" applyBorder="0" applyProtection="0">
      <alignment/>
    </xf>
    <xf numFmtId="0" fontId="43" fillId="0" borderId="0" applyNumberFormat="0" applyBorder="0" applyProtection="0">
      <alignment/>
    </xf>
    <xf numFmtId="198" fontId="50" fillId="0" borderId="0" applyBorder="0" applyProtection="0">
      <alignment/>
    </xf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Border="0" applyProtection="0">
      <alignment/>
    </xf>
    <xf numFmtId="199" fontId="55" fillId="0" borderId="0" applyBorder="0" applyProtection="0">
      <alignment/>
    </xf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43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12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6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65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" fillId="0" borderId="16" xfId="0" applyFont="1" applyBorder="1" applyAlignment="1">
      <alignment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39" fontId="11" fillId="0" borderId="12" xfId="66" applyNumberFormat="1" applyFont="1" applyBorder="1" applyAlignment="1">
      <alignment horizontal="right" wrapText="1"/>
    </xf>
    <xf numFmtId="10" fontId="11" fillId="0" borderId="12" xfId="66" applyNumberFormat="1" applyFont="1" applyBorder="1" applyAlignment="1">
      <alignment horizontal="center" wrapText="1"/>
    </xf>
    <xf numFmtId="39" fontId="11" fillId="34" borderId="12" xfId="66" applyNumberFormat="1" applyFont="1" applyFill="1" applyBorder="1" applyAlignment="1">
      <alignment horizontal="right" wrapText="1"/>
    </xf>
    <xf numFmtId="10" fontId="11" fillId="34" borderId="17" xfId="66" applyNumberFormat="1" applyFont="1" applyFill="1" applyBorder="1" applyAlignment="1">
      <alignment horizontal="right" wrapText="1"/>
    </xf>
    <xf numFmtId="39" fontId="11" fillId="0" borderId="12" xfId="66" applyNumberFormat="1" applyFont="1" applyBorder="1" applyAlignment="1">
      <alignment horizontal="right" vertical="center" wrapText="1"/>
    </xf>
    <xf numFmtId="10" fontId="11" fillId="0" borderId="12" xfId="66" applyNumberFormat="1" applyFont="1" applyBorder="1" applyAlignment="1">
      <alignment horizontal="center" vertical="center" wrapText="1"/>
    </xf>
    <xf numFmtId="39" fontId="11" fillId="34" borderId="12" xfId="0" applyNumberFormat="1" applyFont="1" applyFill="1" applyBorder="1" applyAlignment="1">
      <alignment horizontal="right" vertical="center" wrapText="1"/>
    </xf>
    <xf numFmtId="39" fontId="11" fillId="34" borderId="12" xfId="0" applyNumberFormat="1" applyFont="1" applyFill="1" applyBorder="1" applyAlignment="1">
      <alignment horizontal="center" vertical="center" wrapText="1"/>
    </xf>
    <xf numFmtId="39" fontId="11" fillId="34" borderId="17" xfId="66" applyNumberFormat="1" applyFont="1" applyFill="1" applyBorder="1" applyAlignment="1">
      <alignment horizontal="right" wrapText="1"/>
    </xf>
    <xf numFmtId="39" fontId="11" fillId="34" borderId="19" xfId="0" applyNumberFormat="1" applyFont="1" applyFill="1" applyBorder="1" applyAlignment="1">
      <alignment horizontal="right" vertical="center" wrapText="1"/>
    </xf>
    <xf numFmtId="39" fontId="11" fillId="34" borderId="19" xfId="0" applyNumberFormat="1" applyFont="1" applyFill="1" applyBorder="1" applyAlignment="1">
      <alignment horizontal="center" vertical="center" wrapText="1"/>
    </xf>
    <xf numFmtId="39" fontId="11" fillId="34" borderId="19" xfId="66" applyNumberFormat="1" applyFont="1" applyFill="1" applyBorder="1" applyAlignment="1">
      <alignment horizontal="right" wrapText="1"/>
    </xf>
    <xf numFmtId="39" fontId="11" fillId="34" borderId="20" xfId="66" applyNumberFormat="1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5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66" fillId="0" borderId="12" xfId="66" applyNumberFormat="1" applyFont="1" applyBorder="1" applyAlignment="1">
      <alignment horizontal="center" vertical="center" wrapText="1"/>
    </xf>
    <xf numFmtId="0" fontId="2" fillId="0" borderId="12" xfId="58" applyFont="1" applyFill="1" applyBorder="1" applyAlignment="1">
      <alignment horizontal="center" wrapText="1"/>
      <protection/>
    </xf>
    <xf numFmtId="0" fontId="66" fillId="36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4" fontId="67" fillId="0" borderId="12" xfId="55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37" borderId="12" xfId="0" applyFont="1" applyFill="1" applyBorder="1" applyAlignment="1">
      <alignment horizontal="center" vertical="center" wrapText="1"/>
    </xf>
    <xf numFmtId="179" fontId="39" fillId="0" borderId="12" xfId="0" applyNumberFormat="1" applyFont="1" applyBorder="1" applyAlignment="1">
      <alignment horizontal="center" vertical="center" wrapText="1"/>
    </xf>
    <xf numFmtId="190" fontId="33" fillId="0" borderId="12" xfId="0" applyNumberFormat="1" applyFont="1" applyBorder="1" applyAlignment="1">
      <alignment horizontal="center" vertical="center" wrapText="1"/>
    </xf>
    <xf numFmtId="44" fontId="65" fillId="0" borderId="12" xfId="55" applyFont="1" applyBorder="1" applyAlignment="1">
      <alignment horizontal="center" vertical="center" wrapText="1"/>
    </xf>
    <xf numFmtId="180" fontId="65" fillId="0" borderId="12" xfId="0" applyNumberFormat="1" applyFont="1" applyBorder="1" applyAlignment="1">
      <alignment horizontal="center" vertical="center" wrapText="1"/>
    </xf>
    <xf numFmtId="179" fontId="67" fillId="0" borderId="12" xfId="0" applyNumberFormat="1" applyFont="1" applyBorder="1" applyAlignment="1">
      <alignment horizontal="center" vertical="center" wrapText="1"/>
    </xf>
    <xf numFmtId="10" fontId="67" fillId="0" borderId="12" xfId="0" applyNumberFormat="1" applyFont="1" applyBorder="1" applyAlignment="1">
      <alignment horizontal="center" vertical="center" wrapText="1"/>
    </xf>
    <xf numFmtId="44" fontId="65" fillId="35" borderId="12" xfId="55" applyFont="1" applyFill="1" applyBorder="1" applyAlignment="1">
      <alignment horizontal="center" vertical="center" wrapText="1"/>
    </xf>
    <xf numFmtId="180" fontId="65" fillId="35" borderId="12" xfId="0" applyNumberFormat="1" applyFont="1" applyFill="1" applyBorder="1" applyAlignment="1">
      <alignment horizontal="center" vertical="center" wrapText="1"/>
    </xf>
    <xf numFmtId="44" fontId="33" fillId="0" borderId="12" xfId="55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79" fontId="39" fillId="35" borderId="12" xfId="0" applyNumberFormat="1" applyFont="1" applyFill="1" applyBorder="1" applyAlignment="1">
      <alignment horizontal="center" vertical="center" wrapText="1"/>
    </xf>
    <xf numFmtId="44" fontId="33" fillId="35" borderId="12" xfId="55" applyFont="1" applyFill="1" applyBorder="1" applyAlignment="1">
      <alignment horizontal="center" vertical="center" wrapText="1"/>
    </xf>
    <xf numFmtId="0" fontId="65" fillId="38" borderId="12" xfId="0" applyFont="1" applyFill="1" applyBorder="1" applyAlignment="1">
      <alignment horizontal="center" vertical="center" wrapText="1"/>
    </xf>
    <xf numFmtId="179" fontId="65" fillId="0" borderId="12" xfId="0" applyNumberFormat="1" applyFont="1" applyBorder="1" applyAlignment="1">
      <alignment horizontal="center" vertical="center" wrapText="1"/>
    </xf>
    <xf numFmtId="0" fontId="67" fillId="38" borderId="29" xfId="0" applyFont="1" applyFill="1" applyBorder="1" applyAlignment="1">
      <alignment horizontal="center" vertical="center" wrapText="1"/>
    </xf>
    <xf numFmtId="179" fontId="33" fillId="0" borderId="12" xfId="0" applyNumberFormat="1" applyFont="1" applyBorder="1" applyAlignment="1">
      <alignment horizontal="right" vertical="center" wrapText="1"/>
    </xf>
    <xf numFmtId="179" fontId="33" fillId="0" borderId="12" xfId="0" applyNumberFormat="1" applyFont="1" applyBorder="1" applyAlignment="1">
      <alignment horizontal="center" vertical="center" wrapText="1"/>
    </xf>
    <xf numFmtId="180" fontId="33" fillId="0" borderId="12" xfId="0" applyNumberFormat="1" applyFont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left" vertical="center" wrapText="1"/>
    </xf>
    <xf numFmtId="179" fontId="33" fillId="35" borderId="12" xfId="0" applyNumberFormat="1" applyFont="1" applyFill="1" applyBorder="1" applyAlignment="1">
      <alignment horizontal="right" vertical="center" wrapText="1"/>
    </xf>
    <xf numFmtId="179" fontId="65" fillId="35" borderId="12" xfId="0" applyNumberFormat="1" applyFont="1" applyFill="1" applyBorder="1" applyAlignment="1">
      <alignment horizontal="center" vertical="center" wrapText="1"/>
    </xf>
    <xf numFmtId="179" fontId="68" fillId="0" borderId="12" xfId="0" applyNumberFormat="1" applyFont="1" applyBorder="1" applyAlignment="1">
      <alignment horizontal="center" vertical="center" wrapText="1"/>
    </xf>
    <xf numFmtId="179" fontId="65" fillId="0" borderId="12" xfId="0" applyNumberFormat="1" applyFont="1" applyBorder="1" applyAlignment="1">
      <alignment horizontal="right" vertical="center" wrapText="1"/>
    </xf>
    <xf numFmtId="179" fontId="68" fillId="35" borderId="12" xfId="0" applyNumberFormat="1" applyFont="1" applyFill="1" applyBorder="1" applyAlignment="1">
      <alignment horizontal="center" vertical="center" wrapText="1"/>
    </xf>
    <xf numFmtId="179" fontId="65" fillId="35" borderId="12" xfId="0" applyNumberFormat="1" applyFont="1" applyFill="1" applyBorder="1" applyAlignment="1">
      <alignment horizontal="right" vertical="center" wrapText="1"/>
    </xf>
    <xf numFmtId="179" fontId="33" fillId="0" borderId="12" xfId="0" applyNumberFormat="1" applyFont="1" applyFill="1" applyBorder="1" applyAlignment="1">
      <alignment horizontal="right" vertical="center" wrapText="1"/>
    </xf>
    <xf numFmtId="44" fontId="65" fillId="0" borderId="12" xfId="0" applyNumberFormat="1" applyFont="1" applyBorder="1" applyAlignment="1">
      <alignment horizontal="center" vertical="center" wrapText="1"/>
    </xf>
    <xf numFmtId="0" fontId="65" fillId="38" borderId="29" xfId="0" applyFont="1" applyFill="1" applyBorder="1" applyAlignment="1">
      <alignment horizontal="center" vertical="center" wrapText="1"/>
    </xf>
    <xf numFmtId="179" fontId="63" fillId="0" borderId="30" xfId="0" applyNumberFormat="1" applyFont="1" applyBorder="1" applyAlignment="1">
      <alignment horizontal="center" vertical="center" wrapText="1"/>
    </xf>
    <xf numFmtId="0" fontId="0" fillId="39" borderId="30" xfId="0" applyFill="1" applyBorder="1" applyAlignment="1">
      <alignment vertical="center" wrapText="1"/>
    </xf>
    <xf numFmtId="10" fontId="67" fillId="0" borderId="31" xfId="0" applyNumberFormat="1" applyFont="1" applyBorder="1" applyAlignment="1">
      <alignment horizontal="center" vertical="center" wrapText="1"/>
    </xf>
    <xf numFmtId="179" fontId="63" fillId="0" borderId="0" xfId="0" applyNumberFormat="1" applyFont="1" applyBorder="1" applyAlignment="1">
      <alignment horizontal="center" vertical="center" wrapText="1"/>
    </xf>
    <xf numFmtId="178" fontId="66" fillId="0" borderId="0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4" fontId="6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2" fontId="3" fillId="0" borderId="32" xfId="0" applyNumberFormat="1" applyFont="1" applyFill="1" applyBorder="1" applyAlignment="1" applyProtection="1">
      <alignment vertical="center" wrapText="1"/>
      <protection locked="0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178" fontId="69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left" vertical="center" wrapText="1"/>
    </xf>
    <xf numFmtId="0" fontId="39" fillId="35" borderId="12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67" fillId="38" borderId="35" xfId="0" applyFont="1" applyFill="1" applyBorder="1" applyAlignment="1">
      <alignment horizontal="center" vertical="center" wrapText="1"/>
    </xf>
    <xf numFmtId="0" fontId="67" fillId="38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39" fillId="35" borderId="15" xfId="0" applyFont="1" applyFill="1" applyBorder="1" applyAlignment="1">
      <alignment horizontal="left" vertical="center" wrapText="1"/>
    </xf>
    <xf numFmtId="0" fontId="39" fillId="35" borderId="16" xfId="0" applyFont="1" applyFill="1" applyBorder="1" applyAlignment="1">
      <alignment horizontal="left" vertical="center" wrapText="1"/>
    </xf>
    <xf numFmtId="0" fontId="39" fillId="35" borderId="34" xfId="0" applyFont="1" applyFill="1" applyBorder="1" applyAlignment="1">
      <alignment horizontal="left" vertical="center" wrapText="1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67" fillId="0" borderId="27" xfId="0" applyFont="1" applyBorder="1" applyAlignment="1">
      <alignment horizontal="center" vertical="center" wrapText="1"/>
    </xf>
    <xf numFmtId="0" fontId="67" fillId="37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67" fillId="0" borderId="12" xfId="0" applyFont="1" applyBorder="1" applyAlignment="1">
      <alignment horizontal="right" vertical="center" wrapText="1"/>
    </xf>
    <xf numFmtId="0" fontId="65" fillId="38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8" fillId="35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7" fillId="0" borderId="15" xfId="0" applyFont="1" applyBorder="1" applyAlignment="1">
      <alignment horizontal="right" vertical="center" wrapText="1"/>
    </xf>
    <xf numFmtId="0" fontId="67" fillId="0" borderId="16" xfId="0" applyFont="1" applyBorder="1" applyAlignment="1">
      <alignment horizontal="right" vertical="center" wrapText="1"/>
    </xf>
    <xf numFmtId="0" fontId="67" fillId="0" borderId="34" xfId="0" applyFont="1" applyBorder="1" applyAlignment="1">
      <alignment horizontal="right" vertical="center" wrapText="1"/>
    </xf>
    <xf numFmtId="0" fontId="0" fillId="0" borderId="39" xfId="0" applyBorder="1" applyAlignment="1">
      <alignment horizontal="center" vertical="center" wrapText="1"/>
    </xf>
    <xf numFmtId="0" fontId="67" fillId="37" borderId="15" xfId="0" applyFont="1" applyFill="1" applyBorder="1" applyAlignment="1">
      <alignment horizontal="left" vertical="center" wrapText="1"/>
    </xf>
    <xf numFmtId="0" fontId="67" fillId="37" borderId="16" xfId="0" applyFont="1" applyFill="1" applyBorder="1" applyAlignment="1">
      <alignment horizontal="left" vertical="center" wrapText="1"/>
    </xf>
    <xf numFmtId="0" fontId="67" fillId="37" borderId="34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34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>
      <alignment vertical="center" wrapText="1"/>
    </xf>
    <xf numFmtId="0" fontId="65" fillId="38" borderId="48" xfId="0" applyFont="1" applyFill="1" applyBorder="1" applyAlignment="1">
      <alignment horizontal="center" vertical="center" wrapText="1"/>
    </xf>
    <xf numFmtId="0" fontId="65" fillId="38" borderId="35" xfId="0" applyFont="1" applyFill="1" applyBorder="1" applyAlignment="1">
      <alignment horizontal="center" vertical="center" wrapText="1"/>
    </xf>
    <xf numFmtId="0" fontId="65" fillId="38" borderId="29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49" xfId="0" applyFont="1" applyBorder="1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8" fillId="34" borderId="18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5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34" borderId="12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8" fontId="69" fillId="0" borderId="0" xfId="0" applyNumberFormat="1" applyFont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_BuiltIn_Comma" xfId="50"/>
    <cellStyle name="Heading" xfId="51"/>
    <cellStyle name="Heading1" xfId="52"/>
    <cellStyle name="Hyperlink" xfId="53"/>
    <cellStyle name="Incorreto" xfId="54"/>
    <cellStyle name="Currency" xfId="55"/>
    <cellStyle name="Currency [0]" xfId="56"/>
    <cellStyle name="Neutra" xfId="57"/>
    <cellStyle name="Normal 2" xfId="58"/>
    <cellStyle name="Normal 3" xfId="59"/>
    <cellStyle name="Nota" xfId="60"/>
    <cellStyle name="Percent" xfId="61"/>
    <cellStyle name="Porcentagem 2" xfId="62"/>
    <cellStyle name="Result" xfId="63"/>
    <cellStyle name="Result2" xfId="64"/>
    <cellStyle name="Saída" xfId="65"/>
    <cellStyle name="Comma" xfId="66"/>
    <cellStyle name="Comma [0]" xfId="67"/>
    <cellStyle name="Separador de milhares 2" xfId="68"/>
    <cellStyle name="Separador de milhares 4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Vírgula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1429" cap="flat" cmpd="sng" algn="ctr">
          <a:solidFill>
            <a:schemeClr val="phClr"/>
          </a:solidFill>
          <a:prstDash val="solid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9"/>
  <sheetViews>
    <sheetView showGridLines="0" view="pageBreakPreview" zoomScaleNormal="80" zoomScaleSheetLayoutView="100" zoomScalePageLayoutView="80" workbookViewId="0" topLeftCell="A208">
      <selection activeCell="J215" sqref="J215:M215"/>
    </sheetView>
  </sheetViews>
  <sheetFormatPr defaultColWidth="9.140625" defaultRowHeight="15"/>
  <cols>
    <col min="1" max="1" width="3.140625" style="4" customWidth="1"/>
    <col min="2" max="3" width="13.140625" style="4" customWidth="1"/>
    <col min="4" max="4" width="15.7109375" style="4" customWidth="1"/>
    <col min="5" max="5" width="11.8515625" style="4" customWidth="1"/>
    <col min="6" max="6" width="21.00390625" style="4" customWidth="1"/>
    <col min="7" max="7" width="5.57421875" style="10" customWidth="1"/>
    <col min="8" max="8" width="10.57421875" style="11" customWidth="1"/>
    <col min="9" max="9" width="13.28125" style="12" customWidth="1"/>
    <col min="10" max="11" width="13.57421875" style="4" bestFit="1" customWidth="1"/>
    <col min="12" max="12" width="7.8515625" style="4" customWidth="1"/>
    <col min="13" max="13" width="8.421875" style="4" customWidth="1"/>
    <col min="14" max="16384" width="9.140625" style="4" customWidth="1"/>
  </cols>
  <sheetData>
    <row r="1" spans="2:13" ht="15">
      <c r="B1" s="5"/>
      <c r="C1" s="5"/>
      <c r="D1" s="5"/>
      <c r="E1" s="5"/>
      <c r="F1" s="5"/>
      <c r="G1" s="6"/>
      <c r="H1" s="7"/>
      <c r="I1" s="8"/>
      <c r="J1" s="5"/>
      <c r="K1" s="5"/>
      <c r="L1" s="5"/>
      <c r="M1" s="5"/>
    </row>
    <row r="2" spans="2:13" ht="15.75" thickBot="1">
      <c r="B2" s="5"/>
      <c r="C2" s="5"/>
      <c r="D2" s="5"/>
      <c r="E2" s="5"/>
      <c r="F2" s="5"/>
      <c r="G2" s="6"/>
      <c r="H2" s="7"/>
      <c r="I2" s="8"/>
      <c r="J2" s="5"/>
      <c r="K2" s="5"/>
      <c r="L2" s="5"/>
      <c r="M2" s="5"/>
    </row>
    <row r="3" spans="1:14" ht="8.25" customHeight="1">
      <c r="A3" s="5"/>
      <c r="B3" s="148" t="s">
        <v>357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51"/>
    </row>
    <row r="4" spans="1:14" ht="15" customHeight="1">
      <c r="A4" s="5"/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  <c r="N4" s="51"/>
    </row>
    <row r="5" spans="1:14" ht="15.75" customHeight="1" thickBot="1">
      <c r="A5" s="5"/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51"/>
    </row>
    <row r="6" spans="1:14" ht="16.5" thickBot="1" thickTop="1">
      <c r="A6" s="5"/>
      <c r="B6" s="139" t="s">
        <v>0</v>
      </c>
      <c r="C6" s="140"/>
      <c r="D6" s="140"/>
      <c r="E6" s="140"/>
      <c r="F6" s="140"/>
      <c r="G6" s="141"/>
      <c r="H6" s="52"/>
      <c r="I6" s="53"/>
      <c r="J6" s="53"/>
      <c r="K6" s="53"/>
      <c r="L6" s="53"/>
      <c r="M6" s="54"/>
      <c r="N6" s="51"/>
    </row>
    <row r="7" spans="1:14" ht="6" customHeight="1" thickBot="1" thickTop="1">
      <c r="A7" s="5"/>
      <c r="B7" s="146"/>
      <c r="C7" s="147"/>
      <c r="D7" s="147"/>
      <c r="E7" s="147"/>
      <c r="F7" s="147"/>
      <c r="G7" s="147"/>
      <c r="H7" s="55"/>
      <c r="I7" s="56"/>
      <c r="J7" s="56"/>
      <c r="K7" s="56"/>
      <c r="L7" s="56"/>
      <c r="M7" s="57"/>
      <c r="N7" s="51"/>
    </row>
    <row r="8" spans="1:14" ht="15" customHeight="1" thickBot="1" thickTop="1">
      <c r="A8" s="5"/>
      <c r="B8" s="1" t="s">
        <v>1</v>
      </c>
      <c r="C8" s="14"/>
      <c r="D8" s="142" t="s">
        <v>276</v>
      </c>
      <c r="E8" s="142"/>
      <c r="F8" s="142"/>
      <c r="G8" s="143"/>
      <c r="H8" s="128" t="s">
        <v>400</v>
      </c>
      <c r="I8" s="129"/>
      <c r="J8" s="110" t="s">
        <v>279</v>
      </c>
      <c r="K8" s="110"/>
      <c r="L8" s="102" t="s">
        <v>401</v>
      </c>
      <c r="M8" s="103" t="s">
        <v>402</v>
      </c>
      <c r="N8" s="51"/>
    </row>
    <row r="9" spans="1:14" ht="6" customHeight="1" thickBot="1" thickTop="1">
      <c r="A9" s="5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7"/>
      <c r="N9" s="51"/>
    </row>
    <row r="10" spans="1:14" ht="15" customHeight="1" thickBot="1" thickTop="1">
      <c r="A10" s="5"/>
      <c r="B10" s="1" t="s">
        <v>2</v>
      </c>
      <c r="C10" s="14"/>
      <c r="D10" s="123" t="s">
        <v>277</v>
      </c>
      <c r="E10" s="123"/>
      <c r="F10" s="123"/>
      <c r="G10" s="124"/>
      <c r="H10" s="128" t="s">
        <v>400</v>
      </c>
      <c r="I10" s="129"/>
      <c r="J10" s="111" t="s">
        <v>403</v>
      </c>
      <c r="K10" s="111"/>
      <c r="L10" s="105" t="s">
        <v>404</v>
      </c>
      <c r="M10" s="104" t="s">
        <v>405</v>
      </c>
      <c r="N10" s="51"/>
    </row>
    <row r="11" spans="1:14" ht="6" customHeight="1" thickBot="1" thickTop="1">
      <c r="A11" s="5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7"/>
      <c r="N11" s="51"/>
    </row>
    <row r="12" spans="1:14" ht="15" customHeight="1" thickBot="1" thickTop="1">
      <c r="A12" s="5"/>
      <c r="B12" s="2" t="s">
        <v>3</v>
      </c>
      <c r="C12" s="15"/>
      <c r="D12" s="135" t="s">
        <v>278</v>
      </c>
      <c r="E12" s="135"/>
      <c r="F12" s="135"/>
      <c r="G12" s="136"/>
      <c r="H12" s="128" t="s">
        <v>128</v>
      </c>
      <c r="I12" s="129"/>
      <c r="J12" s="133" t="s">
        <v>356</v>
      </c>
      <c r="K12" s="133"/>
      <c r="L12" s="133"/>
      <c r="M12" s="134"/>
      <c r="N12" s="51"/>
    </row>
    <row r="13" spans="1:14" ht="6" customHeight="1" thickBot="1" thickTop="1">
      <c r="A13" s="5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6"/>
      <c r="N13" s="51"/>
    </row>
    <row r="14" spans="2:14" ht="15">
      <c r="B14" s="58" t="s">
        <v>16</v>
      </c>
      <c r="C14" s="59" t="s">
        <v>133</v>
      </c>
      <c r="D14" s="137" t="s">
        <v>4</v>
      </c>
      <c r="E14" s="137"/>
      <c r="F14" s="137"/>
      <c r="G14" s="59" t="s">
        <v>5</v>
      </c>
      <c r="H14" s="59" t="s">
        <v>6</v>
      </c>
      <c r="I14" s="59" t="s">
        <v>7</v>
      </c>
      <c r="J14" s="59" t="s">
        <v>8</v>
      </c>
      <c r="K14" s="59" t="s">
        <v>268</v>
      </c>
      <c r="L14" s="59" t="s">
        <v>9</v>
      </c>
      <c r="M14" s="60" t="s">
        <v>10</v>
      </c>
      <c r="N14" s="51"/>
    </row>
    <row r="15" spans="2:14" ht="15">
      <c r="B15" s="61"/>
      <c r="C15" s="61">
        <v>1</v>
      </c>
      <c r="D15" s="138" t="s">
        <v>269</v>
      </c>
      <c r="E15" s="138"/>
      <c r="F15" s="138"/>
      <c r="G15" s="138"/>
      <c r="H15" s="138"/>
      <c r="I15" s="138"/>
      <c r="J15" s="138"/>
      <c r="K15" s="138"/>
      <c r="L15" s="138"/>
      <c r="M15" s="138"/>
      <c r="N15" s="51"/>
    </row>
    <row r="16" spans="2:14" ht="15" customHeight="1">
      <c r="B16" s="39" t="s">
        <v>17</v>
      </c>
      <c r="C16" s="39" t="s">
        <v>134</v>
      </c>
      <c r="D16" s="112" t="s">
        <v>18</v>
      </c>
      <c r="E16" s="112"/>
      <c r="F16" s="112"/>
      <c r="G16" s="3" t="s">
        <v>21</v>
      </c>
      <c r="H16" s="62">
        <v>2.5</v>
      </c>
      <c r="I16" s="63">
        <v>366.87</v>
      </c>
      <c r="J16" s="64">
        <f>I16*H16</f>
        <v>917.175</v>
      </c>
      <c r="K16" s="64">
        <f>J16*(1+($J$209/100))</f>
        <v>1146.46875</v>
      </c>
      <c r="L16" s="65">
        <f>IF(J16=0,0,100*J16/$J$19)</f>
        <v>23.56077430027962</v>
      </c>
      <c r="M16" s="145"/>
      <c r="N16" s="51"/>
    </row>
    <row r="17" spans="2:14" ht="22.5" customHeight="1">
      <c r="B17" s="39" t="s">
        <v>349</v>
      </c>
      <c r="C17" s="39" t="s">
        <v>135</v>
      </c>
      <c r="D17" s="112" t="s">
        <v>280</v>
      </c>
      <c r="E17" s="112"/>
      <c r="F17" s="112"/>
      <c r="G17" s="3" t="s">
        <v>350</v>
      </c>
      <c r="H17" s="62">
        <v>1</v>
      </c>
      <c r="I17" s="63">
        <v>1240.79</v>
      </c>
      <c r="J17" s="64">
        <f>I17*H17</f>
        <v>1240.79</v>
      </c>
      <c r="K17" s="64">
        <f>J17*(1+($J$209/100))</f>
        <v>1550.9875</v>
      </c>
      <c r="L17" s="65">
        <f>IF(J17=0,0,100*J17/$J$19)</f>
        <v>31.873931522385526</v>
      </c>
      <c r="M17" s="145"/>
      <c r="N17" s="51"/>
    </row>
    <row r="18" spans="2:14" ht="22.5" customHeight="1">
      <c r="B18" s="39" t="s">
        <v>19</v>
      </c>
      <c r="C18" s="39" t="s">
        <v>136</v>
      </c>
      <c r="D18" s="112" t="s">
        <v>20</v>
      </c>
      <c r="E18" s="112"/>
      <c r="F18" s="112"/>
      <c r="G18" s="3" t="s">
        <v>21</v>
      </c>
      <c r="H18" s="62">
        <v>12</v>
      </c>
      <c r="I18" s="63">
        <v>144.57</v>
      </c>
      <c r="J18" s="64">
        <f>I18*H18</f>
        <v>1734.84</v>
      </c>
      <c r="K18" s="64">
        <f>J18*(1+($J$209/100))</f>
        <v>2168.5499999999997</v>
      </c>
      <c r="L18" s="65">
        <f>IF(J18=0,0,100*J18/$J$19)</f>
        <v>44.56529417733485</v>
      </c>
      <c r="M18" s="145"/>
      <c r="N18" s="51"/>
    </row>
    <row r="19" spans="2:14" ht="16.5" customHeight="1">
      <c r="B19" s="144" t="s">
        <v>11</v>
      </c>
      <c r="C19" s="144"/>
      <c r="D19" s="144"/>
      <c r="E19" s="144"/>
      <c r="F19" s="144"/>
      <c r="G19" s="144"/>
      <c r="H19" s="144"/>
      <c r="I19" s="144"/>
      <c r="J19" s="50">
        <f>SUM(J16:J18)</f>
        <v>3892.8050000000003</v>
      </c>
      <c r="K19" s="50">
        <f>SUM(K16:K18)</f>
        <v>4866.00625</v>
      </c>
      <c r="L19" s="66">
        <f>SUM(L16:L18)</f>
        <v>100</v>
      </c>
      <c r="M19" s="67">
        <f>IF($J$207=0,0,J19/$J$207)</f>
        <v>0.011604678428804194</v>
      </c>
      <c r="N19" s="51"/>
    </row>
    <row r="20" spans="2:14" ht="15">
      <c r="B20" s="61"/>
      <c r="C20" s="61">
        <v>2</v>
      </c>
      <c r="D20" s="138" t="s">
        <v>291</v>
      </c>
      <c r="E20" s="138"/>
      <c r="F20" s="138"/>
      <c r="G20" s="138"/>
      <c r="H20" s="138"/>
      <c r="I20" s="138"/>
      <c r="J20" s="138"/>
      <c r="K20" s="138"/>
      <c r="L20" s="138"/>
      <c r="M20" s="138"/>
      <c r="N20" s="51"/>
    </row>
    <row r="21" spans="2:14" ht="15">
      <c r="B21" s="42"/>
      <c r="C21" s="42" t="s">
        <v>137</v>
      </c>
      <c r="D21" s="117" t="s">
        <v>282</v>
      </c>
      <c r="E21" s="117"/>
      <c r="F21" s="117"/>
      <c r="G21" s="117"/>
      <c r="H21" s="117"/>
      <c r="I21" s="117"/>
      <c r="J21" s="68"/>
      <c r="K21" s="68"/>
      <c r="L21" s="69"/>
      <c r="M21" s="145"/>
      <c r="N21" s="51"/>
    </row>
    <row r="22" spans="2:14" ht="15" customHeight="1">
      <c r="B22" s="39" t="s">
        <v>348</v>
      </c>
      <c r="C22" s="39" t="s">
        <v>138</v>
      </c>
      <c r="D22" s="112" t="s">
        <v>347</v>
      </c>
      <c r="E22" s="112"/>
      <c r="F22" s="112"/>
      <c r="G22" s="3" t="s">
        <v>23</v>
      </c>
      <c r="H22" s="62">
        <v>80.72</v>
      </c>
      <c r="I22" s="70">
        <v>24.44</v>
      </c>
      <c r="J22" s="64">
        <f>I22*H22</f>
        <v>1972.7968</v>
      </c>
      <c r="K22" s="64">
        <f>J22*(1+($J$209/100))</f>
        <v>2465.996</v>
      </c>
      <c r="L22" s="65">
        <f>IF(J22=0,0,100*J22/$J$50)</f>
        <v>2.159093580750683</v>
      </c>
      <c r="M22" s="145"/>
      <c r="N22" s="51"/>
    </row>
    <row r="23" spans="2:14" s="37" customFormat="1" ht="15" customHeight="1">
      <c r="B23" s="39">
        <v>5719</v>
      </c>
      <c r="C23" s="39" t="s">
        <v>139</v>
      </c>
      <c r="D23" s="112" t="s">
        <v>281</v>
      </c>
      <c r="E23" s="112"/>
      <c r="F23" s="112"/>
      <c r="G23" s="3" t="s">
        <v>23</v>
      </c>
      <c r="H23" s="62">
        <v>44.36</v>
      </c>
      <c r="I23" s="70">
        <v>45.42</v>
      </c>
      <c r="J23" s="64">
        <f>I23*H23</f>
        <v>2014.8312</v>
      </c>
      <c r="K23" s="64">
        <f>J23*(1+($J$209/100))</f>
        <v>2518.539</v>
      </c>
      <c r="L23" s="65">
        <f>IF(J23=0,0,100*J23/$J$50)</f>
        <v>2.2050974080129264</v>
      </c>
      <c r="M23" s="145"/>
      <c r="N23" s="51"/>
    </row>
    <row r="24" spans="2:14" ht="15">
      <c r="B24" s="39" t="s">
        <v>22</v>
      </c>
      <c r="C24" s="39" t="s">
        <v>358</v>
      </c>
      <c r="D24" s="112" t="s">
        <v>24</v>
      </c>
      <c r="E24" s="112"/>
      <c r="F24" s="112"/>
      <c r="G24" s="3" t="s">
        <v>23</v>
      </c>
      <c r="H24" s="62">
        <v>12.2</v>
      </c>
      <c r="I24" s="70">
        <v>98.92</v>
      </c>
      <c r="J24" s="64">
        <f>I24*H24</f>
        <v>1206.8239999999998</v>
      </c>
      <c r="K24" s="64">
        <f>J24*(1+($J$209/100))</f>
        <v>1508.5299999999997</v>
      </c>
      <c r="L24" s="65">
        <f>IF(J24=0,0,100*J24/$J$50)</f>
        <v>1.3207878031309974</v>
      </c>
      <c r="M24" s="145"/>
      <c r="N24" s="51"/>
    </row>
    <row r="25" spans="2:14" s="37" customFormat="1" ht="15.75" customHeight="1">
      <c r="B25" s="42"/>
      <c r="C25" s="44" t="s">
        <v>140</v>
      </c>
      <c r="D25" s="117" t="s">
        <v>283</v>
      </c>
      <c r="E25" s="117"/>
      <c r="F25" s="117"/>
      <c r="G25" s="71"/>
      <c r="H25" s="72"/>
      <c r="I25" s="73"/>
      <c r="J25" s="68"/>
      <c r="K25" s="68"/>
      <c r="L25" s="69"/>
      <c r="M25" s="145"/>
      <c r="N25" s="51"/>
    </row>
    <row r="26" spans="2:14" s="37" customFormat="1" ht="25.5" customHeight="1">
      <c r="B26" s="39" t="s">
        <v>114</v>
      </c>
      <c r="C26" s="39" t="s">
        <v>141</v>
      </c>
      <c r="D26" s="112" t="s">
        <v>112</v>
      </c>
      <c r="E26" s="112"/>
      <c r="F26" s="112"/>
      <c r="G26" s="3" t="s">
        <v>113</v>
      </c>
      <c r="H26" s="62">
        <v>2451</v>
      </c>
      <c r="I26" s="70">
        <v>7.42</v>
      </c>
      <c r="J26" s="64">
        <f>I26*H26</f>
        <v>18186.42</v>
      </c>
      <c r="K26" s="64">
        <f>J26*(1+($J$209/100))</f>
        <v>22733.024999999998</v>
      </c>
      <c r="L26" s="65">
        <f>IF(J26=0,0,100*J26/$J$50)</f>
        <v>19.90381507048056</v>
      </c>
      <c r="M26" s="145"/>
      <c r="N26" s="51"/>
    </row>
    <row r="27" spans="2:14" s="37" customFormat="1" ht="25.5" customHeight="1">
      <c r="B27" s="39" t="s">
        <v>115</v>
      </c>
      <c r="C27" s="39" t="s">
        <v>142</v>
      </c>
      <c r="D27" s="112" t="s">
        <v>117</v>
      </c>
      <c r="E27" s="112"/>
      <c r="F27" s="112"/>
      <c r="G27" s="3" t="s">
        <v>113</v>
      </c>
      <c r="H27" s="62">
        <v>2451</v>
      </c>
      <c r="I27" s="70">
        <v>7.66</v>
      </c>
      <c r="J27" s="64">
        <f>I27*H27</f>
        <v>18774.66</v>
      </c>
      <c r="K27" s="64">
        <f>J27*(1+($J$209/100))</f>
        <v>23468.325</v>
      </c>
      <c r="L27" s="65">
        <f>IF(J27=0,0,100*J27/$J$50)</f>
        <v>20.547604237180746</v>
      </c>
      <c r="M27" s="145"/>
      <c r="N27" s="51"/>
    </row>
    <row r="28" spans="2:14" s="37" customFormat="1" ht="23.25" customHeight="1">
      <c r="B28" s="39" t="s">
        <v>353</v>
      </c>
      <c r="C28" s="39" t="s">
        <v>143</v>
      </c>
      <c r="D28" s="113" t="s">
        <v>119</v>
      </c>
      <c r="E28" s="113"/>
      <c r="F28" s="113"/>
      <c r="G28" s="3" t="s">
        <v>23</v>
      </c>
      <c r="H28" s="62">
        <v>30.64</v>
      </c>
      <c r="I28" s="70">
        <v>389.31</v>
      </c>
      <c r="J28" s="64">
        <f>I28*H28</f>
        <v>11928.4584</v>
      </c>
      <c r="K28" s="64">
        <f>J28*(1+($J$209/100))</f>
        <v>14910.573</v>
      </c>
      <c r="L28" s="65">
        <f>IF(J28=0,0,100*J28/$J$50)</f>
        <v>13.054896459529719</v>
      </c>
      <c r="M28" s="145"/>
      <c r="N28" s="51"/>
    </row>
    <row r="29" spans="2:14" s="37" customFormat="1" ht="15">
      <c r="B29" s="39" t="s">
        <v>121</v>
      </c>
      <c r="C29" s="16" t="s">
        <v>144</v>
      </c>
      <c r="D29" s="114" t="s">
        <v>122</v>
      </c>
      <c r="E29" s="115"/>
      <c r="F29" s="116"/>
      <c r="G29" s="3" t="s">
        <v>23</v>
      </c>
      <c r="H29" s="62">
        <v>30.64</v>
      </c>
      <c r="I29" s="70">
        <v>81.39</v>
      </c>
      <c r="J29" s="64">
        <f>I29*H29</f>
        <v>2493.7896</v>
      </c>
      <c r="K29" s="64">
        <f>J29*(1+($J$209/100))</f>
        <v>3117.237</v>
      </c>
      <c r="L29" s="65">
        <f>IF(J29=0,0,100*J29/$J$50)</f>
        <v>2.7292852041846447</v>
      </c>
      <c r="M29" s="145"/>
      <c r="N29" s="51"/>
    </row>
    <row r="30" spans="2:14" ht="15" customHeight="1">
      <c r="B30" s="42"/>
      <c r="C30" s="44" t="s">
        <v>145</v>
      </c>
      <c r="D30" s="117" t="s">
        <v>284</v>
      </c>
      <c r="E30" s="117"/>
      <c r="F30" s="117"/>
      <c r="G30" s="71"/>
      <c r="H30" s="72"/>
      <c r="I30" s="73"/>
      <c r="J30" s="68"/>
      <c r="K30" s="68"/>
      <c r="L30" s="69"/>
      <c r="M30" s="145"/>
      <c r="N30" s="51"/>
    </row>
    <row r="31" spans="2:14" ht="25.5" customHeight="1">
      <c r="B31" s="39" t="s">
        <v>110</v>
      </c>
      <c r="C31" s="39" t="s">
        <v>146</v>
      </c>
      <c r="D31" s="112" t="s">
        <v>111</v>
      </c>
      <c r="E31" s="112"/>
      <c r="F31" s="112"/>
      <c r="G31" s="3" t="s">
        <v>21</v>
      </c>
      <c r="H31" s="62">
        <v>135</v>
      </c>
      <c r="I31" s="70">
        <v>6.5</v>
      </c>
      <c r="J31" s="64">
        <f aca="true" t="shared" si="0" ref="J31:J36">I31*H31</f>
        <v>877.5</v>
      </c>
      <c r="K31" s="64">
        <f aca="true" t="shared" si="1" ref="K31:K36">J31*(1+($J$209/100))</f>
        <v>1096.875</v>
      </c>
      <c r="L31" s="65">
        <f aca="true" t="shared" si="2" ref="L31:L36">IF(J31=0,0,100*J31/$J$50)</f>
        <v>0.9603648065065415</v>
      </c>
      <c r="M31" s="145"/>
      <c r="N31" s="51"/>
    </row>
    <row r="32" spans="2:14" ht="25.5" customHeight="1">
      <c r="B32" s="39" t="s">
        <v>114</v>
      </c>
      <c r="C32" s="39" t="s">
        <v>147</v>
      </c>
      <c r="D32" s="112" t="s">
        <v>112</v>
      </c>
      <c r="E32" s="112"/>
      <c r="F32" s="112"/>
      <c r="G32" s="3" t="s">
        <v>113</v>
      </c>
      <c r="H32" s="62">
        <v>720.72</v>
      </c>
      <c r="I32" s="70">
        <v>7.42</v>
      </c>
      <c r="J32" s="64">
        <f t="shared" si="0"/>
        <v>5347.7424</v>
      </c>
      <c r="K32" s="64">
        <f t="shared" si="1"/>
        <v>6684.678</v>
      </c>
      <c r="L32" s="65">
        <f t="shared" si="2"/>
        <v>5.852744837860772</v>
      </c>
      <c r="M32" s="145"/>
      <c r="N32" s="51"/>
    </row>
    <row r="33" spans="2:14" ht="25.5" customHeight="1">
      <c r="B33" s="39" t="s">
        <v>115</v>
      </c>
      <c r="C33" s="39" t="s">
        <v>148</v>
      </c>
      <c r="D33" s="112" t="s">
        <v>117</v>
      </c>
      <c r="E33" s="112"/>
      <c r="F33" s="112"/>
      <c r="G33" s="3" t="s">
        <v>113</v>
      </c>
      <c r="H33" s="62">
        <v>720.72</v>
      </c>
      <c r="I33" s="70">
        <v>7.66</v>
      </c>
      <c r="J33" s="64">
        <f t="shared" si="0"/>
        <v>5520.715200000001</v>
      </c>
      <c r="K33" s="64">
        <f t="shared" si="1"/>
        <v>6900.894</v>
      </c>
      <c r="L33" s="65">
        <f t="shared" si="2"/>
        <v>6.042051948519342</v>
      </c>
      <c r="M33" s="145"/>
      <c r="N33" s="51"/>
    </row>
    <row r="34" spans="2:14" ht="25.5" customHeight="1">
      <c r="B34" s="39" t="s">
        <v>120</v>
      </c>
      <c r="C34" s="39" t="s">
        <v>149</v>
      </c>
      <c r="D34" s="113" t="s">
        <v>119</v>
      </c>
      <c r="E34" s="113"/>
      <c r="F34" s="113"/>
      <c r="G34" s="3" t="s">
        <v>23</v>
      </c>
      <c r="H34" s="62">
        <v>9.1</v>
      </c>
      <c r="I34" s="70">
        <v>389.31</v>
      </c>
      <c r="J34" s="64">
        <f t="shared" si="0"/>
        <v>3542.721</v>
      </c>
      <c r="K34" s="64">
        <f t="shared" si="1"/>
        <v>4428.40125</v>
      </c>
      <c r="L34" s="65">
        <f t="shared" si="2"/>
        <v>3.8772701625887875</v>
      </c>
      <c r="M34" s="145"/>
      <c r="N34" s="51"/>
    </row>
    <row r="35" spans="2:14" ht="15">
      <c r="B35" s="39" t="s">
        <v>121</v>
      </c>
      <c r="C35" s="39" t="s">
        <v>150</v>
      </c>
      <c r="D35" s="114" t="s">
        <v>122</v>
      </c>
      <c r="E35" s="115"/>
      <c r="F35" s="116"/>
      <c r="G35" s="3" t="s">
        <v>23</v>
      </c>
      <c r="H35" s="62">
        <v>9.1</v>
      </c>
      <c r="I35" s="70">
        <v>81.39</v>
      </c>
      <c r="J35" s="64">
        <f t="shared" si="0"/>
        <v>740.649</v>
      </c>
      <c r="K35" s="64">
        <f t="shared" si="1"/>
        <v>925.81125</v>
      </c>
      <c r="L35" s="65">
        <f t="shared" si="2"/>
        <v>0.8105905795718101</v>
      </c>
      <c r="M35" s="145"/>
      <c r="N35" s="51"/>
    </row>
    <row r="36" spans="2:14" ht="25.5" customHeight="1">
      <c r="B36" s="39" t="s">
        <v>126</v>
      </c>
      <c r="C36" s="39" t="s">
        <v>359</v>
      </c>
      <c r="D36" s="114" t="s">
        <v>127</v>
      </c>
      <c r="E36" s="115"/>
      <c r="F36" s="116"/>
      <c r="G36" s="3" t="s">
        <v>21</v>
      </c>
      <c r="H36" s="62">
        <v>110.11</v>
      </c>
      <c r="I36" s="70">
        <v>56.74</v>
      </c>
      <c r="J36" s="64">
        <f t="shared" si="0"/>
        <v>6247.6414</v>
      </c>
      <c r="K36" s="64">
        <f t="shared" si="1"/>
        <v>7809.5517500000005</v>
      </c>
      <c r="L36" s="65">
        <f t="shared" si="2"/>
        <v>6.837623845280066</v>
      </c>
      <c r="M36" s="145"/>
      <c r="N36" s="51"/>
    </row>
    <row r="37" spans="1:15" s="37" customFormat="1" ht="15.75" customHeight="1">
      <c r="A37" s="4"/>
      <c r="B37" s="42"/>
      <c r="C37" s="44" t="s">
        <v>287</v>
      </c>
      <c r="D37" s="130" t="s">
        <v>286</v>
      </c>
      <c r="E37" s="131"/>
      <c r="F37" s="132"/>
      <c r="G37" s="71"/>
      <c r="H37" s="72"/>
      <c r="I37" s="73"/>
      <c r="J37" s="68"/>
      <c r="K37" s="68"/>
      <c r="L37" s="69"/>
      <c r="M37" s="145"/>
      <c r="N37" s="51"/>
      <c r="O37" s="4"/>
    </row>
    <row r="38" spans="2:14" ht="25.5" customHeight="1">
      <c r="B38" s="39" t="s">
        <v>114</v>
      </c>
      <c r="C38" s="39" t="s">
        <v>360</v>
      </c>
      <c r="D38" s="112" t="s">
        <v>112</v>
      </c>
      <c r="E38" s="112"/>
      <c r="F38" s="112"/>
      <c r="G38" s="3" t="s">
        <v>113</v>
      </c>
      <c r="H38" s="62">
        <v>48.16</v>
      </c>
      <c r="I38" s="70">
        <v>7.42</v>
      </c>
      <c r="J38" s="64">
        <f>I38*H38</f>
        <v>357.3472</v>
      </c>
      <c r="K38" s="64">
        <f>J38*(1+($J$209/100))</f>
        <v>446.68399999999997</v>
      </c>
      <c r="L38" s="65">
        <f>IF(J38=0,0,100*J38/$J$50)</f>
        <v>0.3910925066480392</v>
      </c>
      <c r="M38" s="145"/>
      <c r="N38" s="51"/>
    </row>
    <row r="39" spans="2:14" ht="25.5" customHeight="1">
      <c r="B39" s="39" t="s">
        <v>115</v>
      </c>
      <c r="C39" s="39" t="s">
        <v>361</v>
      </c>
      <c r="D39" s="112" t="s">
        <v>117</v>
      </c>
      <c r="E39" s="112"/>
      <c r="F39" s="112"/>
      <c r="G39" s="3" t="s">
        <v>113</v>
      </c>
      <c r="H39" s="62">
        <v>101.58</v>
      </c>
      <c r="I39" s="70">
        <v>7.66</v>
      </c>
      <c r="J39" s="64">
        <f>I39*H39</f>
        <v>778.1028</v>
      </c>
      <c r="K39" s="64">
        <f>J39*(1+($J$209/100))</f>
        <v>972.6285</v>
      </c>
      <c r="L39" s="65">
        <f>IF(J39=0,0,100*J39/$J$50)</f>
        <v>0.851581247822448</v>
      </c>
      <c r="M39" s="145"/>
      <c r="N39" s="51"/>
    </row>
    <row r="40" spans="2:14" ht="25.5" customHeight="1">
      <c r="B40" s="39" t="s">
        <v>116</v>
      </c>
      <c r="C40" s="39" t="s">
        <v>363</v>
      </c>
      <c r="D40" s="112" t="s">
        <v>118</v>
      </c>
      <c r="E40" s="112"/>
      <c r="F40" s="112"/>
      <c r="G40" s="3" t="s">
        <v>113</v>
      </c>
      <c r="H40" s="62">
        <v>30.5</v>
      </c>
      <c r="I40" s="70">
        <v>5.73</v>
      </c>
      <c r="J40" s="64">
        <f>I40*H40</f>
        <v>174.76500000000001</v>
      </c>
      <c r="K40" s="64">
        <f>J40*(1+($J$209/100))</f>
        <v>218.45625</v>
      </c>
      <c r="L40" s="65">
        <f>IF(J40=0,0,100*J40/$J$50)</f>
        <v>0.19126855317278146</v>
      </c>
      <c r="M40" s="145"/>
      <c r="N40" s="51"/>
    </row>
    <row r="41" spans="2:14" ht="23.25" customHeight="1">
      <c r="B41" s="39" t="s">
        <v>120</v>
      </c>
      <c r="C41" s="39" t="s">
        <v>364</v>
      </c>
      <c r="D41" s="113" t="s">
        <v>119</v>
      </c>
      <c r="E41" s="113"/>
      <c r="F41" s="113"/>
      <c r="G41" s="3" t="s">
        <v>23</v>
      </c>
      <c r="H41" s="62">
        <v>2.28</v>
      </c>
      <c r="I41" s="70">
        <v>389.31</v>
      </c>
      <c r="J41" s="64">
        <f>I41*H41</f>
        <v>887.6267999999999</v>
      </c>
      <c r="K41" s="64">
        <f>J41*(1+($J$209/100))</f>
        <v>1109.5334999999998</v>
      </c>
      <c r="L41" s="65">
        <f>IF(J41=0,0,100*J41/$J$50)</f>
        <v>0.9714479088683995</v>
      </c>
      <c r="M41" s="145"/>
      <c r="N41" s="51"/>
    </row>
    <row r="42" spans="2:14" ht="15">
      <c r="B42" s="39" t="s">
        <v>121</v>
      </c>
      <c r="C42" s="39" t="s">
        <v>365</v>
      </c>
      <c r="D42" s="114" t="s">
        <v>122</v>
      </c>
      <c r="E42" s="115"/>
      <c r="F42" s="116"/>
      <c r="G42" s="3" t="s">
        <v>23</v>
      </c>
      <c r="H42" s="62">
        <v>2.28</v>
      </c>
      <c r="I42" s="70">
        <v>81.39</v>
      </c>
      <c r="J42" s="64">
        <f>I42*H42</f>
        <v>185.5692</v>
      </c>
      <c r="K42" s="64">
        <f>J42*(1+($J$209/100))</f>
        <v>231.9615</v>
      </c>
      <c r="L42" s="65">
        <f>IF(J42=0,0,100*J42/$J$50)</f>
        <v>0.2030930243322777</v>
      </c>
      <c r="M42" s="145"/>
      <c r="N42" s="51"/>
    </row>
    <row r="43" spans="2:14" s="37" customFormat="1" ht="15" customHeight="1">
      <c r="B43" s="42"/>
      <c r="C43" s="44" t="s">
        <v>288</v>
      </c>
      <c r="D43" s="117" t="s">
        <v>285</v>
      </c>
      <c r="E43" s="117"/>
      <c r="F43" s="117"/>
      <c r="G43" s="71"/>
      <c r="H43" s="72"/>
      <c r="I43" s="73"/>
      <c r="J43" s="68"/>
      <c r="K43" s="68"/>
      <c r="L43" s="69"/>
      <c r="M43" s="74"/>
      <c r="N43" s="51"/>
    </row>
    <row r="44" spans="2:14" s="37" customFormat="1" ht="25.5" customHeight="1">
      <c r="B44" s="39" t="s">
        <v>110</v>
      </c>
      <c r="C44" s="39" t="s">
        <v>366</v>
      </c>
      <c r="D44" s="112" t="s">
        <v>111</v>
      </c>
      <c r="E44" s="112"/>
      <c r="F44" s="112"/>
      <c r="G44" s="3" t="s">
        <v>21</v>
      </c>
      <c r="H44" s="62">
        <v>135</v>
      </c>
      <c r="I44" s="70">
        <v>6.5</v>
      </c>
      <c r="J44" s="64">
        <f aca="true" t="shared" si="3" ref="J44:J49">I44*H44</f>
        <v>877.5</v>
      </c>
      <c r="K44" s="64">
        <f aca="true" t="shared" si="4" ref="K44:K49">J44*(1+($J$209/100))</f>
        <v>1096.875</v>
      </c>
      <c r="L44" s="65">
        <f aca="true" t="shared" si="5" ref="L44:L49">IF(J44=0,0,100*J44/$J$50)</f>
        <v>0.9603648065065415</v>
      </c>
      <c r="M44" s="74"/>
      <c r="N44" s="51"/>
    </row>
    <row r="45" spans="2:14" s="37" customFormat="1" ht="25.5" customHeight="1">
      <c r="B45" s="39" t="s">
        <v>114</v>
      </c>
      <c r="C45" s="39" t="s">
        <v>367</v>
      </c>
      <c r="D45" s="112" t="s">
        <v>112</v>
      </c>
      <c r="E45" s="112"/>
      <c r="F45" s="112"/>
      <c r="G45" s="3" t="s">
        <v>113</v>
      </c>
      <c r="H45" s="62">
        <v>210.15</v>
      </c>
      <c r="I45" s="70">
        <v>7.42</v>
      </c>
      <c r="J45" s="64">
        <f t="shared" si="3"/>
        <v>1559.313</v>
      </c>
      <c r="K45" s="64">
        <f t="shared" si="4"/>
        <v>1949.1412500000001</v>
      </c>
      <c r="L45" s="65">
        <f t="shared" si="5"/>
        <v>1.7065633362143988</v>
      </c>
      <c r="M45" s="74"/>
      <c r="N45" s="51"/>
    </row>
    <row r="46" spans="2:14" s="37" customFormat="1" ht="25.5" customHeight="1">
      <c r="B46" s="39" t="s">
        <v>115</v>
      </c>
      <c r="C46" s="39" t="s">
        <v>362</v>
      </c>
      <c r="D46" s="112" t="s">
        <v>117</v>
      </c>
      <c r="E46" s="112"/>
      <c r="F46" s="112"/>
      <c r="G46" s="3" t="s">
        <v>113</v>
      </c>
      <c r="H46" s="62">
        <v>209.6</v>
      </c>
      <c r="I46" s="70">
        <v>7.66</v>
      </c>
      <c r="J46" s="64">
        <f t="shared" si="3"/>
        <v>1605.536</v>
      </c>
      <c r="K46" s="64">
        <f t="shared" si="4"/>
        <v>2006.92</v>
      </c>
      <c r="L46" s="65">
        <f t="shared" si="5"/>
        <v>1.7571513048196998</v>
      </c>
      <c r="M46" s="74"/>
      <c r="N46" s="51"/>
    </row>
    <row r="47" spans="2:14" s="37" customFormat="1" ht="25.5" customHeight="1">
      <c r="B47" s="39" t="s">
        <v>120</v>
      </c>
      <c r="C47" s="39" t="s">
        <v>368</v>
      </c>
      <c r="D47" s="113" t="s">
        <v>119</v>
      </c>
      <c r="E47" s="113"/>
      <c r="F47" s="113"/>
      <c r="G47" s="3" t="s">
        <v>23</v>
      </c>
      <c r="H47" s="62">
        <v>5.24</v>
      </c>
      <c r="I47" s="70">
        <v>389.31</v>
      </c>
      <c r="J47" s="64">
        <f t="shared" si="3"/>
        <v>2039.9844</v>
      </c>
      <c r="K47" s="64">
        <f t="shared" si="4"/>
        <v>2549.9805</v>
      </c>
      <c r="L47" s="65">
        <f t="shared" si="5"/>
        <v>2.232625895820357</v>
      </c>
      <c r="M47" s="74"/>
      <c r="N47" s="51"/>
    </row>
    <row r="48" spans="2:14" s="37" customFormat="1" ht="15">
      <c r="B48" s="39" t="s">
        <v>121</v>
      </c>
      <c r="C48" s="39" t="s">
        <v>369</v>
      </c>
      <c r="D48" s="114" t="s">
        <v>122</v>
      </c>
      <c r="E48" s="115"/>
      <c r="F48" s="116"/>
      <c r="G48" s="3" t="s">
        <v>23</v>
      </c>
      <c r="H48" s="62">
        <v>5.24</v>
      </c>
      <c r="I48" s="70">
        <v>81.39</v>
      </c>
      <c r="J48" s="64">
        <f t="shared" si="3"/>
        <v>426.4836</v>
      </c>
      <c r="K48" s="64">
        <f t="shared" si="4"/>
        <v>533.1045</v>
      </c>
      <c r="L48" s="65">
        <f t="shared" si="5"/>
        <v>0.4667576524127786</v>
      </c>
      <c r="M48" s="74"/>
      <c r="N48" s="51"/>
    </row>
    <row r="49" spans="2:14" s="37" customFormat="1" ht="25.5" customHeight="1">
      <c r="B49" s="39" t="s">
        <v>126</v>
      </c>
      <c r="C49" s="39" t="s">
        <v>370</v>
      </c>
      <c r="D49" s="114" t="s">
        <v>127</v>
      </c>
      <c r="E49" s="115"/>
      <c r="F49" s="116"/>
      <c r="G49" s="3" t="s">
        <v>21</v>
      </c>
      <c r="H49" s="62">
        <v>63.88</v>
      </c>
      <c r="I49" s="70">
        <v>56.74</v>
      </c>
      <c r="J49" s="64">
        <f t="shared" si="3"/>
        <v>3624.5512000000003</v>
      </c>
      <c r="K49" s="64">
        <f t="shared" si="4"/>
        <v>4530.689</v>
      </c>
      <c r="L49" s="65">
        <f t="shared" si="5"/>
        <v>3.966827819784676</v>
      </c>
      <c r="M49" s="74"/>
      <c r="N49" s="51"/>
    </row>
    <row r="50" spans="2:14" ht="16.5" customHeight="1">
      <c r="B50" s="144" t="s">
        <v>11</v>
      </c>
      <c r="C50" s="144"/>
      <c r="D50" s="144"/>
      <c r="E50" s="144"/>
      <c r="F50" s="144"/>
      <c r="G50" s="144"/>
      <c r="H50" s="144"/>
      <c r="I50" s="144"/>
      <c r="J50" s="50">
        <f>SUM(J21:J49)</f>
        <v>91371.5282</v>
      </c>
      <c r="K50" s="50">
        <f>SUM(K21:K49)</f>
        <v>114214.41025</v>
      </c>
      <c r="L50" s="66">
        <f>SUM(L21:L42)</f>
        <v>88.90970918444152</v>
      </c>
      <c r="M50" s="67">
        <f>IF($J$207=0,0,J50/$J$207)</f>
        <v>0.27238384720257347</v>
      </c>
      <c r="N50" s="51"/>
    </row>
    <row r="51" spans="2:14" ht="15">
      <c r="B51" s="61"/>
      <c r="C51" s="61">
        <v>3</v>
      </c>
      <c r="D51" s="138" t="s">
        <v>292</v>
      </c>
      <c r="E51" s="138"/>
      <c r="F51" s="138"/>
      <c r="G51" s="138"/>
      <c r="H51" s="138"/>
      <c r="I51" s="138"/>
      <c r="J51" s="138"/>
      <c r="K51" s="138"/>
      <c r="L51" s="138"/>
      <c r="M51" s="138"/>
      <c r="N51" s="51"/>
    </row>
    <row r="52" spans="2:14" ht="15">
      <c r="B52" s="42"/>
      <c r="C52" s="44" t="s">
        <v>151</v>
      </c>
      <c r="D52" s="117" t="s">
        <v>289</v>
      </c>
      <c r="E52" s="117"/>
      <c r="F52" s="117"/>
      <c r="G52" s="117"/>
      <c r="H52" s="117"/>
      <c r="I52" s="117"/>
      <c r="J52" s="68"/>
      <c r="K52" s="68"/>
      <c r="L52" s="69"/>
      <c r="M52" s="121"/>
      <c r="N52" s="51"/>
    </row>
    <row r="53" spans="2:14" ht="21" customHeight="1">
      <c r="B53" s="39" t="s">
        <v>114</v>
      </c>
      <c r="C53" s="39" t="s">
        <v>152</v>
      </c>
      <c r="D53" s="112" t="s">
        <v>112</v>
      </c>
      <c r="E53" s="112"/>
      <c r="F53" s="112"/>
      <c r="G53" s="3" t="s">
        <v>113</v>
      </c>
      <c r="H53" s="62">
        <v>930.2</v>
      </c>
      <c r="I53" s="70">
        <v>7.42</v>
      </c>
      <c r="J53" s="75">
        <f>I53*H53</f>
        <v>6902.084</v>
      </c>
      <c r="K53" s="64">
        <f>J53*(1+($J$209/100))</f>
        <v>8627.605</v>
      </c>
      <c r="L53" s="65">
        <f>IF(J53=0,0,100*J53/$J$81)</f>
        <v>17.740820977009616</v>
      </c>
      <c r="M53" s="121"/>
      <c r="N53" s="51"/>
    </row>
    <row r="54" spans="2:14" ht="26.25" customHeight="1">
      <c r="B54" s="39" t="s">
        <v>115</v>
      </c>
      <c r="C54" s="39" t="s">
        <v>153</v>
      </c>
      <c r="D54" s="112" t="s">
        <v>117</v>
      </c>
      <c r="E54" s="112"/>
      <c r="F54" s="112"/>
      <c r="G54" s="3" t="s">
        <v>113</v>
      </c>
      <c r="H54" s="62">
        <v>970.55</v>
      </c>
      <c r="I54" s="70">
        <v>7.66</v>
      </c>
      <c r="J54" s="75">
        <f>I54*H54</f>
        <v>7434.413</v>
      </c>
      <c r="K54" s="64">
        <f>J54*(1+($J$209/100))</f>
        <v>9293.016249999999</v>
      </c>
      <c r="L54" s="65">
        <f>IF(J54=0,0,100*J54/$J$81)</f>
        <v>19.109096629677783</v>
      </c>
      <c r="M54" s="121"/>
      <c r="N54" s="51"/>
    </row>
    <row r="55" spans="2:14" ht="24.75" customHeight="1">
      <c r="B55" s="39" t="s">
        <v>120</v>
      </c>
      <c r="C55" s="39" t="s">
        <v>154</v>
      </c>
      <c r="D55" s="113" t="s">
        <v>119</v>
      </c>
      <c r="E55" s="113"/>
      <c r="F55" s="113"/>
      <c r="G55" s="3" t="s">
        <v>23</v>
      </c>
      <c r="H55" s="62">
        <v>23.94</v>
      </c>
      <c r="I55" s="70">
        <v>389.31</v>
      </c>
      <c r="J55" s="75">
        <f>I55*H55</f>
        <v>9320.081400000001</v>
      </c>
      <c r="K55" s="64">
        <f>J55*(1+($J$209/100))</f>
        <v>11650.101750000002</v>
      </c>
      <c r="L55" s="65">
        <f>IF(J55=0,0,100*J55/$J$81)</f>
        <v>23.955937888985</v>
      </c>
      <c r="M55" s="121"/>
      <c r="N55" s="51"/>
    </row>
    <row r="56" spans="2:14" ht="15">
      <c r="B56" s="39" t="s">
        <v>121</v>
      </c>
      <c r="C56" s="39" t="s">
        <v>155</v>
      </c>
      <c r="D56" s="114" t="s">
        <v>122</v>
      </c>
      <c r="E56" s="115"/>
      <c r="F56" s="116"/>
      <c r="G56" s="3" t="s">
        <v>23</v>
      </c>
      <c r="H56" s="62">
        <v>23.94</v>
      </c>
      <c r="I56" s="70">
        <v>21.4</v>
      </c>
      <c r="J56" s="75">
        <f>I56*H56</f>
        <v>512.316</v>
      </c>
      <c r="K56" s="64">
        <f>J56*(1+($J$209/100))</f>
        <v>640.395</v>
      </c>
      <c r="L56" s="65">
        <f>IF(J56=0,0,100*J56/$J$81)</f>
        <v>1.3168350949738743</v>
      </c>
      <c r="M56" s="121"/>
      <c r="N56" s="51"/>
    </row>
    <row r="57" spans="2:14" ht="15">
      <c r="B57" s="42"/>
      <c r="C57" s="44" t="s">
        <v>156</v>
      </c>
      <c r="D57" s="117" t="s">
        <v>290</v>
      </c>
      <c r="E57" s="117"/>
      <c r="F57" s="117"/>
      <c r="G57" s="117"/>
      <c r="H57" s="117"/>
      <c r="I57" s="117"/>
      <c r="J57" s="68"/>
      <c r="K57" s="68"/>
      <c r="L57" s="69"/>
      <c r="M57" s="121"/>
      <c r="N57" s="51"/>
    </row>
    <row r="58" spans="2:14" ht="36.75" customHeight="1">
      <c r="B58" s="39">
        <v>84221</v>
      </c>
      <c r="C58" s="16" t="s">
        <v>157</v>
      </c>
      <c r="D58" s="114" t="s">
        <v>123</v>
      </c>
      <c r="E58" s="115"/>
      <c r="F58" s="116"/>
      <c r="G58" s="3" t="s">
        <v>21</v>
      </c>
      <c r="H58" s="62">
        <v>110.95</v>
      </c>
      <c r="I58" s="70">
        <v>50.75</v>
      </c>
      <c r="J58" s="75">
        <f aca="true" t="shared" si="6" ref="J58:J63">I58*H58</f>
        <v>5630.712500000001</v>
      </c>
      <c r="K58" s="64">
        <f aca="true" t="shared" si="7" ref="K58:K63">J58*(1+($J$209/100))</f>
        <v>7038.390625000001</v>
      </c>
      <c r="L58" s="65">
        <f>IF(J58=0,0,100*J58/$J$81)</f>
        <v>14.472942148416369</v>
      </c>
      <c r="M58" s="121"/>
      <c r="N58" s="51"/>
    </row>
    <row r="59" spans="2:14" ht="27" customHeight="1">
      <c r="B59" s="39" t="s">
        <v>114</v>
      </c>
      <c r="C59" s="16" t="s">
        <v>158</v>
      </c>
      <c r="D59" s="112" t="s">
        <v>112</v>
      </c>
      <c r="E59" s="112"/>
      <c r="F59" s="112"/>
      <c r="G59" s="3" t="s">
        <v>113</v>
      </c>
      <c r="H59" s="62">
        <v>177.2</v>
      </c>
      <c r="I59" s="70">
        <v>7.42</v>
      </c>
      <c r="J59" s="75">
        <f t="shared" si="6"/>
        <v>1314.8239999999998</v>
      </c>
      <c r="K59" s="64">
        <f t="shared" si="7"/>
        <v>1643.5299999999997</v>
      </c>
      <c r="L59" s="65">
        <f>IF(J59=0,0,100*J59/$J$81)</f>
        <v>3.379567272765108</v>
      </c>
      <c r="M59" s="121"/>
      <c r="N59" s="51"/>
    </row>
    <row r="60" spans="2:14" ht="24.75" customHeight="1">
      <c r="B60" s="39" t="s">
        <v>115</v>
      </c>
      <c r="C60" s="16" t="s">
        <v>159</v>
      </c>
      <c r="D60" s="112" t="s">
        <v>117</v>
      </c>
      <c r="E60" s="112"/>
      <c r="F60" s="112"/>
      <c r="G60" s="3" t="s">
        <v>113</v>
      </c>
      <c r="H60" s="62">
        <v>361.46</v>
      </c>
      <c r="I60" s="70">
        <v>7.66</v>
      </c>
      <c r="J60" s="75">
        <f t="shared" si="6"/>
        <v>2768.7835999999998</v>
      </c>
      <c r="K60" s="64">
        <f t="shared" si="7"/>
        <v>3460.9794999999995</v>
      </c>
      <c r="L60" s="65">
        <f>IF(J60=0,0,100*J60/$J$81)</f>
        <v>7.116762730166743</v>
      </c>
      <c r="M60" s="121"/>
      <c r="N60" s="51"/>
    </row>
    <row r="61" spans="2:15" ht="25.5" customHeight="1">
      <c r="B61" s="39" t="s">
        <v>116</v>
      </c>
      <c r="C61" s="16" t="s">
        <v>160</v>
      </c>
      <c r="D61" s="112" t="s">
        <v>118</v>
      </c>
      <c r="E61" s="112"/>
      <c r="F61" s="112"/>
      <c r="G61" s="3" t="s">
        <v>113</v>
      </c>
      <c r="H61" s="62">
        <v>216.99</v>
      </c>
      <c r="I61" s="70">
        <v>5.73</v>
      </c>
      <c r="J61" s="64">
        <f t="shared" si="6"/>
        <v>1243.3527000000001</v>
      </c>
      <c r="K61" s="64">
        <f t="shared" si="7"/>
        <v>1554.1908750000002</v>
      </c>
      <c r="L61" s="65">
        <f>IF(J61=0,0,100*J61/$J$50)</f>
        <v>1.3607660115725198</v>
      </c>
      <c r="M61" s="121"/>
      <c r="N61" s="51"/>
      <c r="O61" s="17"/>
    </row>
    <row r="62" spans="2:14" ht="25.5" customHeight="1">
      <c r="B62" s="39" t="s">
        <v>120</v>
      </c>
      <c r="C62" s="16" t="s">
        <v>161</v>
      </c>
      <c r="D62" s="113" t="s">
        <v>119</v>
      </c>
      <c r="E62" s="113"/>
      <c r="F62" s="113"/>
      <c r="G62" s="3" t="s">
        <v>23</v>
      </c>
      <c r="H62" s="62">
        <v>9.2</v>
      </c>
      <c r="I62" s="70">
        <v>389.31</v>
      </c>
      <c r="J62" s="75">
        <f t="shared" si="6"/>
        <v>3581.6519999999996</v>
      </c>
      <c r="K62" s="64">
        <f t="shared" si="7"/>
        <v>4477.065</v>
      </c>
      <c r="L62" s="65">
        <f>IF(J62=0,0,100*J62/$J$81)</f>
        <v>9.206124836201418</v>
      </c>
      <c r="M62" s="121"/>
      <c r="N62" s="51"/>
    </row>
    <row r="63" spans="2:14" ht="15">
      <c r="B63" s="39" t="s">
        <v>121</v>
      </c>
      <c r="C63" s="16" t="s">
        <v>162</v>
      </c>
      <c r="D63" s="114" t="s">
        <v>122</v>
      </c>
      <c r="E63" s="115"/>
      <c r="F63" s="116"/>
      <c r="G63" s="3" t="s">
        <v>23</v>
      </c>
      <c r="H63" s="62">
        <v>9.2</v>
      </c>
      <c r="I63" s="70">
        <v>21.4</v>
      </c>
      <c r="J63" s="75">
        <f t="shared" si="6"/>
        <v>196.87999999999997</v>
      </c>
      <c r="K63" s="64">
        <f t="shared" si="7"/>
        <v>246.09999999999997</v>
      </c>
      <c r="L63" s="65">
        <f>IF(J63=0,0,100*J63/$J$81)</f>
        <v>0.5060519161971445</v>
      </c>
      <c r="M63" s="122"/>
      <c r="N63" s="51"/>
    </row>
    <row r="64" spans="2:14" s="37" customFormat="1" ht="15">
      <c r="B64" s="42"/>
      <c r="C64" s="44" t="s">
        <v>151</v>
      </c>
      <c r="D64" s="117" t="s">
        <v>293</v>
      </c>
      <c r="E64" s="117"/>
      <c r="F64" s="117"/>
      <c r="G64" s="117"/>
      <c r="H64" s="117"/>
      <c r="I64" s="117"/>
      <c r="J64" s="68"/>
      <c r="K64" s="68"/>
      <c r="L64" s="69"/>
      <c r="M64" s="121"/>
      <c r="N64" s="51"/>
    </row>
    <row r="65" spans="2:14" s="37" customFormat="1" ht="21" customHeight="1">
      <c r="B65" s="39" t="s">
        <v>114</v>
      </c>
      <c r="C65" s="39" t="s">
        <v>152</v>
      </c>
      <c r="D65" s="112" t="s">
        <v>112</v>
      </c>
      <c r="E65" s="112"/>
      <c r="F65" s="112"/>
      <c r="G65" s="3" t="s">
        <v>113</v>
      </c>
      <c r="H65" s="62">
        <v>107.71</v>
      </c>
      <c r="I65" s="70">
        <v>7.42</v>
      </c>
      <c r="J65" s="75">
        <f>I65*H65</f>
        <v>799.2081999999999</v>
      </c>
      <c r="K65" s="64">
        <f>J65*(1+($J$209/100))</f>
        <v>999.0102499999999</v>
      </c>
      <c r="L65" s="65">
        <f>IF(J65=0,0,100*J65/$J$81)</f>
        <v>2.054250513259197</v>
      </c>
      <c r="M65" s="121"/>
      <c r="N65" s="51"/>
    </row>
    <row r="66" spans="2:14" s="37" customFormat="1" ht="26.25" customHeight="1">
      <c r="B66" s="39" t="s">
        <v>115</v>
      </c>
      <c r="C66" s="39" t="s">
        <v>153</v>
      </c>
      <c r="D66" s="112" t="s">
        <v>117</v>
      </c>
      <c r="E66" s="112"/>
      <c r="F66" s="112"/>
      <c r="G66" s="3" t="s">
        <v>113</v>
      </c>
      <c r="H66" s="62">
        <v>206.68</v>
      </c>
      <c r="I66" s="70">
        <v>7.66</v>
      </c>
      <c r="J66" s="75">
        <f>I66*H66</f>
        <v>1583.1688000000001</v>
      </c>
      <c r="K66" s="64">
        <f>J66*(1+($J$209/100))</f>
        <v>1978.9610000000002</v>
      </c>
      <c r="L66" s="65">
        <f>IF(J66=0,0,100*J66/$J$81)</f>
        <v>4.069309248798933</v>
      </c>
      <c r="M66" s="121"/>
      <c r="N66" s="51"/>
    </row>
    <row r="67" spans="2:14" s="37" customFormat="1" ht="24.75" customHeight="1">
      <c r="B67" s="39" t="s">
        <v>120</v>
      </c>
      <c r="C67" s="39" t="s">
        <v>154</v>
      </c>
      <c r="D67" s="113" t="s">
        <v>119</v>
      </c>
      <c r="E67" s="113"/>
      <c r="F67" s="113"/>
      <c r="G67" s="3" t="s">
        <v>23</v>
      </c>
      <c r="H67" s="62">
        <v>3.74</v>
      </c>
      <c r="I67" s="70">
        <v>389.31</v>
      </c>
      <c r="J67" s="75">
        <f>I67*H67</f>
        <v>1456.0194000000001</v>
      </c>
      <c r="K67" s="64">
        <f>J67*(1+($J$209/100))</f>
        <v>1820.0242500000002</v>
      </c>
      <c r="L67" s="65">
        <f>IF(J67=0,0,100*J67/$J$81)</f>
        <v>3.74248987906449</v>
      </c>
      <c r="M67" s="121"/>
      <c r="N67" s="51"/>
    </row>
    <row r="68" spans="2:14" s="37" customFormat="1" ht="15">
      <c r="B68" s="39" t="s">
        <v>121</v>
      </c>
      <c r="C68" s="39" t="s">
        <v>155</v>
      </c>
      <c r="D68" s="114" t="s">
        <v>122</v>
      </c>
      <c r="E68" s="115"/>
      <c r="F68" s="116"/>
      <c r="G68" s="3" t="s">
        <v>23</v>
      </c>
      <c r="H68" s="62">
        <v>3.74</v>
      </c>
      <c r="I68" s="70">
        <v>21.4</v>
      </c>
      <c r="J68" s="75">
        <f>I68*H68</f>
        <v>80.036</v>
      </c>
      <c r="K68" s="64">
        <f>J68*(1+($J$209/100))</f>
        <v>100.045</v>
      </c>
      <c r="L68" s="65">
        <f>IF(J68=0,0,100*J68/$J$81)</f>
        <v>0.20572110506275226</v>
      </c>
      <c r="M68" s="121"/>
      <c r="N68" s="51"/>
    </row>
    <row r="69" spans="2:14" s="37" customFormat="1" ht="15">
      <c r="B69" s="42"/>
      <c r="C69" s="44" t="s">
        <v>156</v>
      </c>
      <c r="D69" s="117" t="s">
        <v>294</v>
      </c>
      <c r="E69" s="117"/>
      <c r="F69" s="117"/>
      <c r="G69" s="117"/>
      <c r="H69" s="117"/>
      <c r="I69" s="117"/>
      <c r="J69" s="68"/>
      <c r="K69" s="68"/>
      <c r="L69" s="69"/>
      <c r="M69" s="121"/>
      <c r="N69" s="51"/>
    </row>
    <row r="70" spans="2:14" s="37" customFormat="1" ht="36.75" customHeight="1">
      <c r="B70" s="39">
        <v>84221</v>
      </c>
      <c r="C70" s="16" t="s">
        <v>157</v>
      </c>
      <c r="D70" s="114" t="s">
        <v>123</v>
      </c>
      <c r="E70" s="115"/>
      <c r="F70" s="116"/>
      <c r="G70" s="3" t="s">
        <v>21</v>
      </c>
      <c r="H70" s="62">
        <v>90.23</v>
      </c>
      <c r="I70" s="70">
        <v>50.75</v>
      </c>
      <c r="J70" s="75">
        <f aca="true" t="shared" si="8" ref="J70:J75">I70*H70</f>
        <v>4579.172500000001</v>
      </c>
      <c r="K70" s="64">
        <f aca="true" t="shared" si="9" ref="K70:K75">J70*(1+($J$209/100))</f>
        <v>5723.965625000001</v>
      </c>
      <c r="L70" s="65">
        <f>IF(J70=0,0,100*J70/$J$81)</f>
        <v>11.770108788207382</v>
      </c>
      <c r="M70" s="121"/>
      <c r="N70" s="51"/>
    </row>
    <row r="71" spans="2:14" s="37" customFormat="1" ht="27" customHeight="1">
      <c r="B71" s="39" t="s">
        <v>114</v>
      </c>
      <c r="C71" s="16" t="s">
        <v>158</v>
      </c>
      <c r="D71" s="112" t="s">
        <v>112</v>
      </c>
      <c r="E71" s="112"/>
      <c r="F71" s="112"/>
      <c r="G71" s="3" t="s">
        <v>113</v>
      </c>
      <c r="H71" s="62">
        <v>420.03</v>
      </c>
      <c r="I71" s="70">
        <v>7.42</v>
      </c>
      <c r="J71" s="75">
        <f t="shared" si="8"/>
        <v>3116.6225999999997</v>
      </c>
      <c r="K71" s="64">
        <f t="shared" si="9"/>
        <v>3895.7782499999994</v>
      </c>
      <c r="L71" s="65">
        <f>IF(J71=0,0,100*J71/$J$81)</f>
        <v>8.01083319175806</v>
      </c>
      <c r="M71" s="121"/>
      <c r="N71" s="51"/>
    </row>
    <row r="72" spans="2:14" s="37" customFormat="1" ht="24.75" customHeight="1">
      <c r="B72" s="39" t="s">
        <v>115</v>
      </c>
      <c r="C72" s="16" t="s">
        <v>159</v>
      </c>
      <c r="D72" s="112" t="s">
        <v>117</v>
      </c>
      <c r="E72" s="112"/>
      <c r="F72" s="112"/>
      <c r="G72" s="3" t="s">
        <v>113</v>
      </c>
      <c r="H72" s="62">
        <v>369.56</v>
      </c>
      <c r="I72" s="70">
        <v>7.66</v>
      </c>
      <c r="J72" s="75">
        <f t="shared" si="8"/>
        <v>2830.8296</v>
      </c>
      <c r="K72" s="64">
        <f t="shared" si="9"/>
        <v>3538.5370000000003</v>
      </c>
      <c r="L72" s="65">
        <f>IF(J72=0,0,100*J72/$J$81)</f>
        <v>7.276243110054838</v>
      </c>
      <c r="M72" s="121"/>
      <c r="N72" s="51"/>
    </row>
    <row r="73" spans="2:15" s="37" customFormat="1" ht="25.5" customHeight="1">
      <c r="B73" s="39" t="s">
        <v>116</v>
      </c>
      <c r="C73" s="16" t="s">
        <v>160</v>
      </c>
      <c r="D73" s="112" t="s">
        <v>118</v>
      </c>
      <c r="E73" s="112"/>
      <c r="F73" s="112"/>
      <c r="G73" s="3" t="s">
        <v>113</v>
      </c>
      <c r="H73" s="62">
        <v>70.5</v>
      </c>
      <c r="I73" s="70">
        <v>5.73</v>
      </c>
      <c r="J73" s="64">
        <f t="shared" si="8"/>
        <v>403.96500000000003</v>
      </c>
      <c r="K73" s="64">
        <f t="shared" si="9"/>
        <v>504.95625000000007</v>
      </c>
      <c r="L73" s="65">
        <f>IF(J73=0,0,100*J73/$J$50)</f>
        <v>0.44211255733380633</v>
      </c>
      <c r="M73" s="121"/>
      <c r="N73" s="51"/>
      <c r="O73" s="17"/>
    </row>
    <row r="74" spans="2:14" s="37" customFormat="1" ht="25.5" customHeight="1">
      <c r="B74" s="39" t="s">
        <v>120</v>
      </c>
      <c r="C74" s="16" t="s">
        <v>161</v>
      </c>
      <c r="D74" s="113" t="s">
        <v>119</v>
      </c>
      <c r="E74" s="113"/>
      <c r="F74" s="113"/>
      <c r="G74" s="3" t="s">
        <v>23</v>
      </c>
      <c r="H74" s="62">
        <v>10.56</v>
      </c>
      <c r="I74" s="70">
        <v>389.31</v>
      </c>
      <c r="J74" s="75">
        <f t="shared" si="8"/>
        <v>4111.113600000001</v>
      </c>
      <c r="K74" s="64">
        <f t="shared" si="9"/>
        <v>5138.892000000001</v>
      </c>
      <c r="L74" s="65">
        <f>IF(J74=0,0,100*J74/$J$81)</f>
        <v>10.567030246770326</v>
      </c>
      <c r="M74" s="121"/>
      <c r="N74" s="51"/>
    </row>
    <row r="75" spans="2:14" s="37" customFormat="1" ht="15">
      <c r="B75" s="39" t="s">
        <v>121</v>
      </c>
      <c r="C75" s="16" t="s">
        <v>162</v>
      </c>
      <c r="D75" s="114" t="s">
        <v>122</v>
      </c>
      <c r="E75" s="115"/>
      <c r="F75" s="116"/>
      <c r="G75" s="3" t="s">
        <v>23</v>
      </c>
      <c r="H75" s="62">
        <v>10.56</v>
      </c>
      <c r="I75" s="70">
        <v>21.4</v>
      </c>
      <c r="J75" s="75">
        <f t="shared" si="8"/>
        <v>225.984</v>
      </c>
      <c r="K75" s="64">
        <f t="shared" si="9"/>
        <v>282.48</v>
      </c>
      <c r="L75" s="65">
        <f>IF(J75=0,0,100*J75/$J$81)</f>
        <v>0.5808595907654182</v>
      </c>
      <c r="M75" s="122"/>
      <c r="N75" s="51"/>
    </row>
    <row r="76" spans="2:14" s="37" customFormat="1" ht="15">
      <c r="B76" s="42"/>
      <c r="C76" s="44" t="s">
        <v>395</v>
      </c>
      <c r="D76" s="117" t="s">
        <v>295</v>
      </c>
      <c r="E76" s="117"/>
      <c r="F76" s="117"/>
      <c r="G76" s="117"/>
      <c r="H76" s="117"/>
      <c r="I76" s="117"/>
      <c r="J76" s="68"/>
      <c r="K76" s="68"/>
      <c r="L76" s="69"/>
      <c r="M76" s="76"/>
      <c r="N76" s="51"/>
    </row>
    <row r="77" spans="2:14" s="37" customFormat="1" ht="15">
      <c r="B77" s="40" t="s">
        <v>131</v>
      </c>
      <c r="C77" s="43" t="s">
        <v>396</v>
      </c>
      <c r="D77" s="118" t="s">
        <v>132</v>
      </c>
      <c r="E77" s="119"/>
      <c r="F77" s="120"/>
      <c r="G77" s="3" t="s">
        <v>21</v>
      </c>
      <c r="H77" s="62">
        <v>116.37</v>
      </c>
      <c r="I77" s="77">
        <v>72.45</v>
      </c>
      <c r="J77" s="78">
        <f>I77*H77</f>
        <v>8431.006500000001</v>
      </c>
      <c r="K77" s="64">
        <f>J77*(1+($J$209/100))</f>
        <v>10538.758125000002</v>
      </c>
      <c r="L77" s="79">
        <f>IF(J77=0,0,100*J77/$J$55)</f>
        <v>90.46065305824476</v>
      </c>
      <c r="M77" s="76"/>
      <c r="N77" s="51"/>
    </row>
    <row r="78" spans="2:14" s="37" customFormat="1" ht="15">
      <c r="B78" s="40" t="s">
        <v>125</v>
      </c>
      <c r="C78" s="43" t="s">
        <v>397</v>
      </c>
      <c r="D78" s="113" t="s">
        <v>124</v>
      </c>
      <c r="E78" s="113"/>
      <c r="F78" s="113"/>
      <c r="G78" s="3" t="s">
        <v>21</v>
      </c>
      <c r="H78" s="62">
        <v>116.37</v>
      </c>
      <c r="I78" s="77">
        <v>19.02</v>
      </c>
      <c r="J78" s="75">
        <f>I78*H78</f>
        <v>2213.3574</v>
      </c>
      <c r="K78" s="64">
        <f>J78*(1+($J$209/100))</f>
        <v>2766.69675</v>
      </c>
      <c r="L78" s="65">
        <f>IF(J78=0,0,100*J78/$J$55)</f>
        <v>23.748262541998827</v>
      </c>
      <c r="M78" s="76"/>
      <c r="N78" s="51"/>
    </row>
    <row r="79" spans="2:14" s="37" customFormat="1" ht="25.5" customHeight="1">
      <c r="B79" s="39" t="s">
        <v>120</v>
      </c>
      <c r="C79" s="43" t="s">
        <v>398</v>
      </c>
      <c r="D79" s="113" t="s">
        <v>119</v>
      </c>
      <c r="E79" s="113"/>
      <c r="F79" s="113"/>
      <c r="G79" s="3" t="s">
        <v>23</v>
      </c>
      <c r="H79" s="62">
        <v>8.54</v>
      </c>
      <c r="I79" s="70">
        <v>389.31</v>
      </c>
      <c r="J79" s="75">
        <f>I79*H79</f>
        <v>3324.7074</v>
      </c>
      <c r="K79" s="64">
        <f>J79*(1+($J$209/100))</f>
        <v>4155.88425</v>
      </c>
      <c r="L79" s="65">
        <f>IF(J79=0,0,100*J79/$J$81)</f>
        <v>8.545685445778274</v>
      </c>
      <c r="M79" s="76"/>
      <c r="N79" s="51"/>
    </row>
    <row r="80" spans="2:14" s="37" customFormat="1" ht="15">
      <c r="B80" s="39" t="s">
        <v>121</v>
      </c>
      <c r="C80" s="43" t="s">
        <v>399</v>
      </c>
      <c r="D80" s="114" t="s">
        <v>122</v>
      </c>
      <c r="E80" s="115"/>
      <c r="F80" s="116"/>
      <c r="G80" s="3" t="s">
        <v>23</v>
      </c>
      <c r="H80" s="62">
        <v>8.54</v>
      </c>
      <c r="I80" s="70">
        <v>21.4</v>
      </c>
      <c r="J80" s="75">
        <f>I80*H80</f>
        <v>182.75599999999997</v>
      </c>
      <c r="K80" s="64">
        <f>J80*(1+($J$209/100))</f>
        <v>228.44499999999996</v>
      </c>
      <c r="L80" s="65">
        <f>IF(J80=0,0,100*J80/$J$81)</f>
        <v>0.46974819177430593</v>
      </c>
      <c r="M80" s="76"/>
      <c r="N80" s="51"/>
    </row>
    <row r="81" spans="2:14" ht="16.5" customHeight="1">
      <c r="B81" s="144" t="s">
        <v>11</v>
      </c>
      <c r="C81" s="144"/>
      <c r="D81" s="144"/>
      <c r="E81" s="144"/>
      <c r="F81" s="144"/>
      <c r="G81" s="144"/>
      <c r="H81" s="144"/>
      <c r="I81" s="144"/>
      <c r="J81" s="50">
        <f>SUM(J52:J63)</f>
        <v>38905.099200000004</v>
      </c>
      <c r="K81" s="50">
        <f>SUM(K52:K80)</f>
        <v>90303.80775000004</v>
      </c>
      <c r="L81" s="66">
        <f>SUM(L52:L56)</f>
        <v>62.12269059064628</v>
      </c>
      <c r="M81" s="67">
        <f>IF($J$207=0,0,J81/$J$207)</f>
        <v>0.11597836661654702</v>
      </c>
      <c r="N81" s="51"/>
    </row>
    <row r="82" spans="2:14" ht="15">
      <c r="B82" s="61"/>
      <c r="C82" s="61">
        <v>4</v>
      </c>
      <c r="D82" s="138" t="s">
        <v>300</v>
      </c>
      <c r="E82" s="138"/>
      <c r="F82" s="138"/>
      <c r="G82" s="138"/>
      <c r="H82" s="138"/>
      <c r="I82" s="138"/>
      <c r="J82" s="138"/>
      <c r="K82" s="138"/>
      <c r="L82" s="138"/>
      <c r="M82" s="138"/>
      <c r="N82" s="51"/>
    </row>
    <row r="83" spans="2:14" ht="36" customHeight="1">
      <c r="B83" s="40">
        <v>87496</v>
      </c>
      <c r="C83" s="40" t="s">
        <v>163</v>
      </c>
      <c r="D83" s="173" t="s">
        <v>354</v>
      </c>
      <c r="E83" s="173"/>
      <c r="F83" s="173"/>
      <c r="G83" s="3" t="s">
        <v>21</v>
      </c>
      <c r="H83" s="62">
        <v>783.9</v>
      </c>
      <c r="I83" s="77">
        <v>56.37</v>
      </c>
      <c r="J83" s="75">
        <f aca="true" t="shared" si="10" ref="J83:J88">I83*H83</f>
        <v>44188.443</v>
      </c>
      <c r="K83" s="64">
        <f aca="true" t="shared" si="11" ref="K83:K89">J83*(1+($J$209/100))</f>
        <v>55235.55375</v>
      </c>
      <c r="L83" s="65">
        <f aca="true" t="shared" si="12" ref="L83:L89">IF(J83=0,0,100*J83/$J$90)</f>
        <v>68.14987708530703</v>
      </c>
      <c r="M83" s="145"/>
      <c r="N83" s="51"/>
    </row>
    <row r="84" spans="2:14" ht="42.75" customHeight="1">
      <c r="B84" s="40" t="s">
        <v>25</v>
      </c>
      <c r="C84" s="40" t="s">
        <v>164</v>
      </c>
      <c r="D84" s="113" t="s">
        <v>304</v>
      </c>
      <c r="E84" s="113"/>
      <c r="F84" s="113"/>
      <c r="G84" s="3" t="s">
        <v>26</v>
      </c>
      <c r="H84" s="62">
        <v>32.75</v>
      </c>
      <c r="I84" s="77">
        <v>12.94</v>
      </c>
      <c r="J84" s="75">
        <f t="shared" si="10"/>
        <v>423.78499999999997</v>
      </c>
      <c r="K84" s="64">
        <f t="shared" si="11"/>
        <v>529.7312499999999</v>
      </c>
      <c r="L84" s="65">
        <f t="shared" si="12"/>
        <v>0.6535848221806965</v>
      </c>
      <c r="M84" s="145"/>
      <c r="N84" s="51"/>
    </row>
    <row r="85" spans="2:14" ht="27.75" customHeight="1">
      <c r="B85" s="48">
        <v>608</v>
      </c>
      <c r="C85" s="40" t="s">
        <v>165</v>
      </c>
      <c r="D85" s="112" t="s">
        <v>296</v>
      </c>
      <c r="E85" s="112"/>
      <c r="F85" s="112"/>
      <c r="G85" s="3" t="s">
        <v>21</v>
      </c>
      <c r="H85" s="62">
        <v>18.72</v>
      </c>
      <c r="I85" s="77">
        <v>788.74</v>
      </c>
      <c r="J85" s="78">
        <f t="shared" si="10"/>
        <v>14765.2128</v>
      </c>
      <c r="K85" s="64">
        <f t="shared" si="11"/>
        <v>18456.516</v>
      </c>
      <c r="L85" s="65">
        <f t="shared" si="12"/>
        <v>22.771733266510477</v>
      </c>
      <c r="M85" s="145"/>
      <c r="N85" s="51"/>
    </row>
    <row r="86" spans="2:14" ht="35.25" customHeight="1">
      <c r="B86" s="40" t="s">
        <v>28</v>
      </c>
      <c r="C86" s="40" t="s">
        <v>166</v>
      </c>
      <c r="D86" s="112" t="s">
        <v>297</v>
      </c>
      <c r="E86" s="112"/>
      <c r="F86" s="112"/>
      <c r="G86" s="3" t="s">
        <v>27</v>
      </c>
      <c r="H86" s="62">
        <v>4</v>
      </c>
      <c r="I86" s="77">
        <v>363.91</v>
      </c>
      <c r="J86" s="78">
        <f t="shared" si="10"/>
        <v>1455.64</v>
      </c>
      <c r="K86" s="64">
        <f t="shared" si="11"/>
        <v>1819.5500000000002</v>
      </c>
      <c r="L86" s="65">
        <f t="shared" si="12"/>
        <v>2.244969054022934</v>
      </c>
      <c r="M86" s="145"/>
      <c r="N86" s="51"/>
    </row>
    <row r="87" spans="2:14" ht="35.25" customHeight="1">
      <c r="B87" s="40" t="s">
        <v>29</v>
      </c>
      <c r="C87" s="40" t="s">
        <v>167</v>
      </c>
      <c r="D87" s="112" t="s">
        <v>30</v>
      </c>
      <c r="E87" s="112"/>
      <c r="F87" s="112"/>
      <c r="G87" s="3" t="s">
        <v>27</v>
      </c>
      <c r="H87" s="62">
        <v>6</v>
      </c>
      <c r="I87" s="77">
        <v>370.03</v>
      </c>
      <c r="J87" s="78">
        <f t="shared" si="10"/>
        <v>2220.18</v>
      </c>
      <c r="K87" s="64">
        <f t="shared" si="11"/>
        <v>2775.225</v>
      </c>
      <c r="L87" s="65">
        <f t="shared" si="12"/>
        <v>3.4240852095027865</v>
      </c>
      <c r="M87" s="145"/>
      <c r="N87" s="51"/>
    </row>
    <row r="88" spans="2:14" ht="35.25" customHeight="1">
      <c r="B88" s="40" t="s">
        <v>31</v>
      </c>
      <c r="C88" s="40" t="s">
        <v>168</v>
      </c>
      <c r="D88" s="112" t="s">
        <v>298</v>
      </c>
      <c r="E88" s="112"/>
      <c r="F88" s="112"/>
      <c r="G88" s="3" t="s">
        <v>21</v>
      </c>
      <c r="H88" s="62">
        <v>7.56</v>
      </c>
      <c r="I88" s="77">
        <v>193.38</v>
      </c>
      <c r="J88" s="78">
        <f t="shared" si="10"/>
        <v>1461.9527999999998</v>
      </c>
      <c r="K88" s="64">
        <f t="shared" si="11"/>
        <v>1827.4409999999998</v>
      </c>
      <c r="L88" s="65">
        <f t="shared" si="12"/>
        <v>2.254705005662237</v>
      </c>
      <c r="M88" s="145"/>
      <c r="N88" s="51"/>
    </row>
    <row r="89" spans="2:14" s="37" customFormat="1" ht="35.25" customHeight="1">
      <c r="B89" s="40" t="s">
        <v>31</v>
      </c>
      <c r="C89" s="40" t="s">
        <v>169</v>
      </c>
      <c r="D89" s="112" t="s">
        <v>299</v>
      </c>
      <c r="E89" s="112"/>
      <c r="F89" s="112"/>
      <c r="G89" s="3" t="s">
        <v>21</v>
      </c>
      <c r="H89" s="62">
        <v>1.68</v>
      </c>
      <c r="I89" s="77">
        <v>193.38</v>
      </c>
      <c r="J89" s="78">
        <f>I89*H89</f>
        <v>324.8784</v>
      </c>
      <c r="K89" s="64">
        <f t="shared" si="11"/>
        <v>406.098</v>
      </c>
      <c r="L89" s="65">
        <f t="shared" si="12"/>
        <v>0.5010455568138306</v>
      </c>
      <c r="M89" s="145"/>
      <c r="N89" s="51"/>
    </row>
    <row r="90" spans="2:14" ht="15" customHeight="1">
      <c r="B90" s="144" t="s">
        <v>11</v>
      </c>
      <c r="C90" s="144"/>
      <c r="D90" s="144"/>
      <c r="E90" s="144"/>
      <c r="F90" s="144"/>
      <c r="G90" s="144"/>
      <c r="H90" s="144"/>
      <c r="I90" s="144"/>
      <c r="J90" s="50">
        <f>SUM(J83:J89)</f>
        <v>64840.092000000004</v>
      </c>
      <c r="K90" s="50">
        <f>SUM(K83:K89)</f>
        <v>81050.115</v>
      </c>
      <c r="L90" s="66">
        <f>SUM(L83:L89)</f>
        <v>99.99999999999999</v>
      </c>
      <c r="M90" s="67">
        <f>IF($J$207=0,0,J90/$J$207)</f>
        <v>0.19329209065290437</v>
      </c>
      <c r="N90" s="51"/>
    </row>
    <row r="91" spans="2:14" ht="15">
      <c r="B91" s="61"/>
      <c r="C91" s="61">
        <v>5</v>
      </c>
      <c r="D91" s="138" t="s">
        <v>301</v>
      </c>
      <c r="E91" s="138"/>
      <c r="F91" s="138"/>
      <c r="G91" s="138"/>
      <c r="H91" s="138"/>
      <c r="I91" s="138"/>
      <c r="J91" s="138"/>
      <c r="K91" s="138"/>
      <c r="L91" s="138"/>
      <c r="M91" s="138"/>
      <c r="N91" s="51"/>
    </row>
    <row r="92" spans="2:14" ht="36" customHeight="1">
      <c r="B92" s="40">
        <v>84038</v>
      </c>
      <c r="C92" s="40" t="s">
        <v>170</v>
      </c>
      <c r="D92" s="112" t="s">
        <v>351</v>
      </c>
      <c r="E92" s="112"/>
      <c r="F92" s="112"/>
      <c r="G92" s="3" t="s">
        <v>21</v>
      </c>
      <c r="H92" s="62">
        <v>1100</v>
      </c>
      <c r="I92" s="77">
        <v>40.93</v>
      </c>
      <c r="J92" s="78">
        <f>I92*H92</f>
        <v>45023</v>
      </c>
      <c r="K92" s="64">
        <f>J92*(1+($J$209/100))</f>
        <v>56278.75</v>
      </c>
      <c r="L92" s="79">
        <f>IF(J92=0,0,100*J92/$J$95)</f>
        <v>74.4232991888368</v>
      </c>
      <c r="M92" s="145"/>
      <c r="N92" s="51"/>
    </row>
    <row r="93" spans="2:14" ht="36" customHeight="1">
      <c r="B93" s="40" t="s">
        <v>330</v>
      </c>
      <c r="C93" s="40" t="s">
        <v>171</v>
      </c>
      <c r="D93" s="112" t="s">
        <v>302</v>
      </c>
      <c r="E93" s="112"/>
      <c r="F93" s="112"/>
      <c r="G93" s="3" t="s">
        <v>21</v>
      </c>
      <c r="H93" s="62">
        <v>223.72</v>
      </c>
      <c r="I93" s="77">
        <v>22</v>
      </c>
      <c r="J93" s="78">
        <f>I93*H93</f>
        <v>4921.84</v>
      </c>
      <c r="K93" s="64">
        <f>J93*(1+($J$209/100))</f>
        <v>6152.3</v>
      </c>
      <c r="L93" s="79">
        <f>IF(J93=0,0,100*J93/$J$95)</f>
        <v>8.135832149780878</v>
      </c>
      <c r="M93" s="145"/>
      <c r="N93" s="51"/>
    </row>
    <row r="94" spans="2:14" ht="24.75" customHeight="1">
      <c r="B94" s="40">
        <v>72105</v>
      </c>
      <c r="C94" s="40" t="s">
        <v>172</v>
      </c>
      <c r="D94" s="112" t="s">
        <v>303</v>
      </c>
      <c r="E94" s="112"/>
      <c r="F94" s="112"/>
      <c r="G94" s="3" t="s">
        <v>26</v>
      </c>
      <c r="H94" s="62">
        <v>300</v>
      </c>
      <c r="I94" s="77">
        <v>35.17</v>
      </c>
      <c r="J94" s="78">
        <f>I94*H94</f>
        <v>10551</v>
      </c>
      <c r="K94" s="64">
        <f>J94*(1+($J$209/100))</f>
        <v>13188.75</v>
      </c>
      <c r="L94" s="79">
        <f>IF(J94=0,0,100*J94/$J$95)</f>
        <v>17.44086866138234</v>
      </c>
      <c r="M94" s="145"/>
      <c r="N94" s="51"/>
    </row>
    <row r="95" spans="2:14" ht="15" customHeight="1">
      <c r="B95" s="144" t="s">
        <v>11</v>
      </c>
      <c r="C95" s="144"/>
      <c r="D95" s="144"/>
      <c r="E95" s="144"/>
      <c r="F95" s="144"/>
      <c r="G95" s="144"/>
      <c r="H95" s="144"/>
      <c r="I95" s="144"/>
      <c r="J95" s="50">
        <f>SUM(J92:J94)</f>
        <v>60495.84</v>
      </c>
      <c r="K95" s="50">
        <f>SUM(K92:K94)</f>
        <v>75619.8</v>
      </c>
      <c r="L95" s="66">
        <f>SUM(L92:L94)</f>
        <v>100.00000000000001</v>
      </c>
      <c r="M95" s="67">
        <f>IF($J$207=0,0,J95/$J$207)</f>
        <v>0.18034162242403354</v>
      </c>
      <c r="N95" s="51"/>
    </row>
    <row r="96" spans="2:14" ht="15">
      <c r="B96" s="61"/>
      <c r="C96" s="61">
        <v>6</v>
      </c>
      <c r="D96" s="138" t="s">
        <v>386</v>
      </c>
      <c r="E96" s="138"/>
      <c r="F96" s="138"/>
      <c r="G96" s="138"/>
      <c r="H96" s="138"/>
      <c r="I96" s="138"/>
      <c r="J96" s="138"/>
      <c r="K96" s="138"/>
      <c r="L96" s="138"/>
      <c r="M96" s="138"/>
      <c r="N96" s="51"/>
    </row>
    <row r="97" spans="2:14" ht="15">
      <c r="B97" s="44"/>
      <c r="C97" s="44" t="s">
        <v>173</v>
      </c>
      <c r="D97" s="181" t="s">
        <v>33</v>
      </c>
      <c r="E97" s="181"/>
      <c r="F97" s="181"/>
      <c r="G97" s="80"/>
      <c r="H97" s="80"/>
      <c r="I97" s="80"/>
      <c r="J97" s="80"/>
      <c r="K97" s="80"/>
      <c r="L97" s="80"/>
      <c r="M97" s="80"/>
      <c r="N97" s="51"/>
    </row>
    <row r="98" spans="2:14" ht="24" customHeight="1">
      <c r="B98" s="40">
        <v>5975</v>
      </c>
      <c r="C98" s="40" t="s">
        <v>175</v>
      </c>
      <c r="D98" s="113" t="s">
        <v>32</v>
      </c>
      <c r="E98" s="113"/>
      <c r="F98" s="113"/>
      <c r="G98" s="3" t="s">
        <v>21</v>
      </c>
      <c r="H98" s="62">
        <v>345.6</v>
      </c>
      <c r="I98" s="77">
        <v>4.47</v>
      </c>
      <c r="J98" s="75">
        <f>I98*H98</f>
        <v>1544.832</v>
      </c>
      <c r="K98" s="64">
        <f aca="true" t="shared" si="13" ref="K98:K103">J98*(1+($J$209/100))</f>
        <v>1931.0400000000002</v>
      </c>
      <c r="L98" s="65">
        <f aca="true" t="shared" si="14" ref="L98:L103">IF(J98=0,0,100*J98/$J$110)</f>
        <v>3.92339830163141</v>
      </c>
      <c r="M98" s="145"/>
      <c r="N98" s="51"/>
    </row>
    <row r="99" spans="2:14" ht="33" customHeight="1">
      <c r="B99" s="40">
        <v>5982</v>
      </c>
      <c r="C99" s="40" t="s">
        <v>174</v>
      </c>
      <c r="D99" s="112" t="s">
        <v>34</v>
      </c>
      <c r="E99" s="112"/>
      <c r="F99" s="112"/>
      <c r="G99" s="3" t="s">
        <v>21</v>
      </c>
      <c r="H99" s="62">
        <v>345.6</v>
      </c>
      <c r="I99" s="77">
        <v>14.89</v>
      </c>
      <c r="J99" s="75">
        <f>I99*H99</f>
        <v>5145.984</v>
      </c>
      <c r="K99" s="64">
        <f t="shared" si="13"/>
        <v>6432.4800000000005</v>
      </c>
      <c r="L99" s="65">
        <f t="shared" si="14"/>
        <v>13.069217161362793</v>
      </c>
      <c r="M99" s="145"/>
      <c r="N99" s="51"/>
    </row>
    <row r="100" spans="2:14" ht="15">
      <c r="B100" s="40" t="s">
        <v>36</v>
      </c>
      <c r="C100" s="40" t="s">
        <v>176</v>
      </c>
      <c r="D100" s="113" t="s">
        <v>35</v>
      </c>
      <c r="E100" s="113"/>
      <c r="F100" s="113"/>
      <c r="G100" s="3" t="s">
        <v>21</v>
      </c>
      <c r="H100" s="62">
        <v>216.1</v>
      </c>
      <c r="I100" s="77">
        <v>8.85</v>
      </c>
      <c r="J100" s="75">
        <f>I100*H100</f>
        <v>1912.485</v>
      </c>
      <c r="K100" s="64">
        <f t="shared" si="13"/>
        <v>2390.60625</v>
      </c>
      <c r="L100" s="65">
        <f t="shared" si="14"/>
        <v>4.8571238820114715</v>
      </c>
      <c r="M100" s="145"/>
      <c r="N100" s="51"/>
    </row>
    <row r="101" spans="2:14" ht="18" customHeight="1">
      <c r="B101" s="40" t="s">
        <v>41</v>
      </c>
      <c r="C101" s="40" t="s">
        <v>177</v>
      </c>
      <c r="D101" s="113" t="s">
        <v>42</v>
      </c>
      <c r="E101" s="113"/>
      <c r="F101" s="113"/>
      <c r="G101" s="3" t="s">
        <v>21</v>
      </c>
      <c r="H101" s="62">
        <v>216.1</v>
      </c>
      <c r="I101" s="77">
        <v>2.9</v>
      </c>
      <c r="J101" s="75">
        <f>I101*H101</f>
        <v>626.6899999999999</v>
      </c>
      <c r="K101" s="64">
        <f t="shared" si="13"/>
        <v>783.3625</v>
      </c>
      <c r="L101" s="65">
        <f t="shared" si="14"/>
        <v>1.5915999161393521</v>
      </c>
      <c r="M101" s="145"/>
      <c r="N101" s="51"/>
    </row>
    <row r="102" spans="2:14" ht="25.5" customHeight="1">
      <c r="B102" s="40" t="s">
        <v>37</v>
      </c>
      <c r="C102" s="40" t="s">
        <v>178</v>
      </c>
      <c r="D102" s="113" t="s">
        <v>38</v>
      </c>
      <c r="E102" s="113"/>
      <c r="F102" s="113"/>
      <c r="G102" s="3" t="s">
        <v>21</v>
      </c>
      <c r="H102" s="62">
        <v>216.1</v>
      </c>
      <c r="I102" s="77">
        <v>7.54</v>
      </c>
      <c r="J102" s="75">
        <f>I102*H102</f>
        <v>1629.394</v>
      </c>
      <c r="K102" s="64">
        <f t="shared" si="13"/>
        <v>2036.7425</v>
      </c>
      <c r="L102" s="65">
        <f t="shared" si="14"/>
        <v>4.138159781962316</v>
      </c>
      <c r="M102" s="145"/>
      <c r="N102" s="51"/>
    </row>
    <row r="103" spans="2:14" ht="35.25" customHeight="1">
      <c r="B103" s="39">
        <v>6000</v>
      </c>
      <c r="C103" s="40" t="s">
        <v>179</v>
      </c>
      <c r="D103" s="113" t="s">
        <v>39</v>
      </c>
      <c r="E103" s="113"/>
      <c r="F103" s="113"/>
      <c r="G103" s="3" t="s">
        <v>21</v>
      </c>
      <c r="H103" s="62">
        <v>129.5</v>
      </c>
      <c r="I103" s="77">
        <v>18.56</v>
      </c>
      <c r="J103" s="75">
        <f aca="true" t="shared" si="15" ref="J103:J109">I103*H103</f>
        <v>2403.52</v>
      </c>
      <c r="K103" s="64">
        <f t="shared" si="13"/>
        <v>3004.4</v>
      </c>
      <c r="L103" s="65">
        <f t="shared" si="14"/>
        <v>6.104201807016637</v>
      </c>
      <c r="M103" s="145"/>
      <c r="N103" s="51"/>
    </row>
    <row r="104" spans="2:14" ht="15">
      <c r="B104" s="42"/>
      <c r="C104" s="44" t="s">
        <v>180</v>
      </c>
      <c r="D104" s="161" t="s">
        <v>40</v>
      </c>
      <c r="E104" s="161"/>
      <c r="F104" s="161"/>
      <c r="G104" s="71"/>
      <c r="H104" s="72"/>
      <c r="I104" s="81"/>
      <c r="J104" s="82"/>
      <c r="K104" s="82"/>
      <c r="L104" s="69"/>
      <c r="M104" s="145"/>
      <c r="N104" s="51"/>
    </row>
    <row r="105" spans="2:14" ht="24.75" customHeight="1">
      <c r="B105" s="39">
        <v>5975</v>
      </c>
      <c r="C105" s="39" t="s">
        <v>181</v>
      </c>
      <c r="D105" s="113" t="s">
        <v>32</v>
      </c>
      <c r="E105" s="113"/>
      <c r="F105" s="113"/>
      <c r="G105" s="3" t="s">
        <v>21</v>
      </c>
      <c r="H105" s="62">
        <v>675.6</v>
      </c>
      <c r="I105" s="77">
        <v>4.47</v>
      </c>
      <c r="J105" s="75">
        <f t="shared" si="15"/>
        <v>3019.932</v>
      </c>
      <c r="K105" s="64">
        <f>J105*(1+($J$209/100))</f>
        <v>3774.915</v>
      </c>
      <c r="L105" s="65">
        <f>IF(J105=0,0,100*J105/$J$110)</f>
        <v>7.669698763258622</v>
      </c>
      <c r="M105" s="145"/>
      <c r="N105" s="51"/>
    </row>
    <row r="106" spans="2:14" ht="25.5" customHeight="1">
      <c r="B106" s="39">
        <v>5982</v>
      </c>
      <c r="C106" s="39" t="s">
        <v>182</v>
      </c>
      <c r="D106" s="113" t="s">
        <v>34</v>
      </c>
      <c r="E106" s="113"/>
      <c r="F106" s="113"/>
      <c r="G106" s="3" t="s">
        <v>21</v>
      </c>
      <c r="H106" s="62">
        <v>675.6</v>
      </c>
      <c r="I106" s="77">
        <v>14.89</v>
      </c>
      <c r="J106" s="75">
        <f t="shared" si="15"/>
        <v>10059.684000000001</v>
      </c>
      <c r="K106" s="64">
        <f>J106*(1+($J$209/100))</f>
        <v>12574.605000000001</v>
      </c>
      <c r="L106" s="65">
        <f>IF(J106=0,0,100*J106/$J$110)</f>
        <v>25.548504381414077</v>
      </c>
      <c r="M106" s="145"/>
      <c r="N106" s="51"/>
    </row>
    <row r="107" spans="2:14" s="37" customFormat="1" ht="15">
      <c r="B107" s="40" t="s">
        <v>36</v>
      </c>
      <c r="C107" s="39" t="s">
        <v>183</v>
      </c>
      <c r="D107" s="113" t="s">
        <v>35</v>
      </c>
      <c r="E107" s="113"/>
      <c r="F107" s="113"/>
      <c r="G107" s="3" t="s">
        <v>21</v>
      </c>
      <c r="H107" s="62">
        <v>675.6</v>
      </c>
      <c r="I107" s="77">
        <v>8.85</v>
      </c>
      <c r="J107" s="75">
        <f t="shared" si="15"/>
        <v>5979.06</v>
      </c>
      <c r="K107" s="64">
        <f>J107*(1+($J$209/100))</f>
        <v>7473.825000000001</v>
      </c>
      <c r="L107" s="65">
        <f>IF(J107=0,0,100*J107/$J$110)</f>
        <v>15.184974061485194</v>
      </c>
      <c r="M107" s="145"/>
      <c r="N107" s="51"/>
    </row>
    <row r="108" spans="2:14" s="37" customFormat="1" ht="18" customHeight="1">
      <c r="B108" s="40" t="s">
        <v>41</v>
      </c>
      <c r="C108" s="39" t="s">
        <v>184</v>
      </c>
      <c r="D108" s="113" t="s">
        <v>42</v>
      </c>
      <c r="E108" s="113"/>
      <c r="F108" s="113"/>
      <c r="G108" s="3" t="s">
        <v>21</v>
      </c>
      <c r="H108" s="62">
        <v>675.6</v>
      </c>
      <c r="I108" s="77">
        <v>2.9</v>
      </c>
      <c r="J108" s="75">
        <f t="shared" si="15"/>
        <v>1959.24</v>
      </c>
      <c r="K108" s="64">
        <f>J108*(1+($J$209/100))</f>
        <v>2449.05</v>
      </c>
      <c r="L108" s="65">
        <f>IF(J108=0,0,100*J108/$J$110)</f>
        <v>4.975867206588369</v>
      </c>
      <c r="M108" s="145"/>
      <c r="N108" s="51"/>
    </row>
    <row r="109" spans="2:14" s="37" customFormat="1" ht="25.5" customHeight="1">
      <c r="B109" s="40" t="s">
        <v>37</v>
      </c>
      <c r="C109" s="39" t="s">
        <v>371</v>
      </c>
      <c r="D109" s="113" t="s">
        <v>38</v>
      </c>
      <c r="E109" s="113"/>
      <c r="F109" s="113"/>
      <c r="G109" s="3" t="s">
        <v>21</v>
      </c>
      <c r="H109" s="62">
        <v>675.6</v>
      </c>
      <c r="I109" s="77">
        <v>7.54</v>
      </c>
      <c r="J109" s="75">
        <f t="shared" si="15"/>
        <v>5094.024</v>
      </c>
      <c r="K109" s="64">
        <f>J109*(1+($J$209/100))</f>
        <v>6367.530000000001</v>
      </c>
      <c r="L109" s="65">
        <f>IF(J109=0,0,100*J109/$J$110)</f>
        <v>12.93725473712976</v>
      </c>
      <c r="M109" s="145"/>
      <c r="N109" s="51"/>
    </row>
    <row r="110" spans="2:14" ht="15">
      <c r="B110" s="144" t="s">
        <v>11</v>
      </c>
      <c r="C110" s="144"/>
      <c r="D110" s="144"/>
      <c r="E110" s="144"/>
      <c r="F110" s="144"/>
      <c r="G110" s="144"/>
      <c r="H110" s="144"/>
      <c r="I110" s="144"/>
      <c r="J110" s="50">
        <f>SUM(J97:J109)</f>
        <v>39374.845</v>
      </c>
      <c r="K110" s="50">
        <f>SUM(K97:K109)</f>
        <v>49218.55625000001</v>
      </c>
      <c r="L110" s="66">
        <f>SUM(L97:L109)</f>
        <v>100</v>
      </c>
      <c r="M110" s="67">
        <f>IF($J$207=0,0,J110/$J$207)</f>
        <v>0.11737870620516791</v>
      </c>
      <c r="N110" s="51"/>
    </row>
    <row r="111" spans="2:14" ht="15">
      <c r="B111" s="61"/>
      <c r="C111" s="61">
        <v>7</v>
      </c>
      <c r="D111" s="138" t="s">
        <v>305</v>
      </c>
      <c r="E111" s="138"/>
      <c r="F111" s="138"/>
      <c r="G111" s="138"/>
      <c r="H111" s="138"/>
      <c r="I111" s="138"/>
      <c r="J111" s="138"/>
      <c r="K111" s="138"/>
      <c r="L111" s="138"/>
      <c r="M111" s="138"/>
      <c r="N111" s="51"/>
    </row>
    <row r="112" spans="2:14" ht="23.25" customHeight="1">
      <c r="B112" s="40" t="s">
        <v>43</v>
      </c>
      <c r="C112" s="40" t="s">
        <v>185</v>
      </c>
      <c r="D112" s="113" t="s">
        <v>44</v>
      </c>
      <c r="E112" s="113"/>
      <c r="F112" s="113"/>
      <c r="G112" s="39" t="s">
        <v>21</v>
      </c>
      <c r="H112" s="83">
        <v>156.15</v>
      </c>
      <c r="I112" s="84">
        <v>12.12</v>
      </c>
      <c r="J112" s="75">
        <f>I112*H112</f>
        <v>1892.538</v>
      </c>
      <c r="K112" s="64">
        <f>J112*(1+($J$209/100))</f>
        <v>2365.6725</v>
      </c>
      <c r="L112" s="65">
        <f>IF(J112=0,0,100*J112/$J$117)</f>
        <v>17.399075505700065</v>
      </c>
      <c r="M112" s="145"/>
      <c r="N112" s="51"/>
    </row>
    <row r="113" spans="2:14" ht="36" customHeight="1">
      <c r="B113" s="40" t="s">
        <v>46</v>
      </c>
      <c r="C113" s="40" t="s">
        <v>186</v>
      </c>
      <c r="D113" s="113" t="s">
        <v>45</v>
      </c>
      <c r="E113" s="113"/>
      <c r="F113" s="113"/>
      <c r="G113" s="39" t="s">
        <v>21</v>
      </c>
      <c r="H113" s="83">
        <v>156.15</v>
      </c>
      <c r="I113" s="84">
        <v>37.33</v>
      </c>
      <c r="J113" s="75">
        <f>I113*H113</f>
        <v>5829.0795</v>
      </c>
      <c r="K113" s="64">
        <f>J113*(1+($J$209/100))</f>
        <v>7286.349375</v>
      </c>
      <c r="L113" s="65">
        <f>IF(J113=0,0,100*J113/$J$117)</f>
        <v>53.589726784470585</v>
      </c>
      <c r="M113" s="145"/>
      <c r="N113" s="51"/>
    </row>
    <row r="114" spans="2:14" ht="36" customHeight="1">
      <c r="B114" s="40">
        <v>84206</v>
      </c>
      <c r="C114" s="43" t="s">
        <v>187</v>
      </c>
      <c r="D114" s="114" t="s">
        <v>130</v>
      </c>
      <c r="E114" s="115"/>
      <c r="F114" s="116"/>
      <c r="G114" s="39" t="s">
        <v>26</v>
      </c>
      <c r="H114" s="83">
        <v>96.44</v>
      </c>
      <c r="I114" s="84">
        <v>8.35</v>
      </c>
      <c r="J114" s="75">
        <f>I114*H114</f>
        <v>805.274</v>
      </c>
      <c r="K114" s="64">
        <f>J114*(1+($J$209/100))</f>
        <v>1006.5925</v>
      </c>
      <c r="L114" s="65">
        <f>IF(J114=0,0,100*J114/$J$117)</f>
        <v>7.403298178835572</v>
      </c>
      <c r="M114" s="145"/>
      <c r="N114" s="51"/>
    </row>
    <row r="115" spans="2:14" ht="36" customHeight="1">
      <c r="B115" s="46" t="s">
        <v>329</v>
      </c>
      <c r="C115" s="40" t="s">
        <v>188</v>
      </c>
      <c r="D115" s="113" t="s">
        <v>306</v>
      </c>
      <c r="E115" s="113"/>
      <c r="F115" s="113"/>
      <c r="G115" s="39" t="s">
        <v>21</v>
      </c>
      <c r="H115" s="83">
        <v>71.6</v>
      </c>
      <c r="I115" s="84">
        <v>27.88</v>
      </c>
      <c r="J115" s="75">
        <f>I115*H115</f>
        <v>1996.2079999999999</v>
      </c>
      <c r="K115" s="64">
        <f>J115*(1+($J$209/100))</f>
        <v>2495.2599999999998</v>
      </c>
      <c r="L115" s="65">
        <f>IF(J115=0,0,100*J115/$J$117)</f>
        <v>18.352167151773184</v>
      </c>
      <c r="M115" s="145"/>
      <c r="N115" s="51"/>
    </row>
    <row r="116" spans="2:14" ht="15">
      <c r="B116" s="40" t="s">
        <v>22</v>
      </c>
      <c r="C116" s="40" t="s">
        <v>189</v>
      </c>
      <c r="D116" s="113" t="s">
        <v>24</v>
      </c>
      <c r="E116" s="113"/>
      <c r="F116" s="113"/>
      <c r="G116" s="39" t="s">
        <v>23</v>
      </c>
      <c r="H116" s="83">
        <v>3.58</v>
      </c>
      <c r="I116" s="84">
        <v>98.92</v>
      </c>
      <c r="J116" s="75">
        <f>I116*H116</f>
        <v>354.1336</v>
      </c>
      <c r="K116" s="64">
        <f>J116*(1+($J$209/100))</f>
        <v>442.66700000000003</v>
      </c>
      <c r="L116" s="65">
        <f>IF(J116=0,0,100*J116/$J$117)</f>
        <v>3.2557323792205946</v>
      </c>
      <c r="M116" s="145"/>
      <c r="N116" s="51"/>
    </row>
    <row r="117" spans="2:14" ht="15">
      <c r="B117" s="144" t="s">
        <v>11</v>
      </c>
      <c r="C117" s="144"/>
      <c r="D117" s="144"/>
      <c r="E117" s="144"/>
      <c r="F117" s="144"/>
      <c r="G117" s="144"/>
      <c r="H117" s="144"/>
      <c r="I117" s="144"/>
      <c r="J117" s="50">
        <f>SUM(J112:J116)</f>
        <v>10877.2331</v>
      </c>
      <c r="K117" s="50">
        <f>SUM(K112:K116)</f>
        <v>13596.541375</v>
      </c>
      <c r="L117" s="66">
        <f>SUM(L112:L116)</f>
        <v>100</v>
      </c>
      <c r="M117" s="67">
        <f>IF($J$207=0,0,J117/$J$207)</f>
        <v>0.03242566538027077</v>
      </c>
      <c r="N117" s="51"/>
    </row>
    <row r="118" spans="2:14" ht="15">
      <c r="B118" s="61"/>
      <c r="C118" s="61">
        <v>8</v>
      </c>
      <c r="D118" s="138" t="s">
        <v>307</v>
      </c>
      <c r="E118" s="138"/>
      <c r="F118" s="138"/>
      <c r="G118" s="138"/>
      <c r="H118" s="138"/>
      <c r="I118" s="138"/>
      <c r="J118" s="138"/>
      <c r="K118" s="138"/>
      <c r="L118" s="138"/>
      <c r="M118" s="138"/>
      <c r="N118" s="51"/>
    </row>
    <row r="119" spans="2:14" ht="15" customHeight="1">
      <c r="B119" s="41"/>
      <c r="C119" s="44" t="s">
        <v>190</v>
      </c>
      <c r="D119" s="161" t="s">
        <v>47</v>
      </c>
      <c r="E119" s="161"/>
      <c r="F119" s="161"/>
      <c r="G119" s="42"/>
      <c r="H119" s="85"/>
      <c r="I119" s="86"/>
      <c r="J119" s="82"/>
      <c r="K119" s="82"/>
      <c r="L119" s="69"/>
      <c r="M119" s="178"/>
      <c r="N119" s="51"/>
    </row>
    <row r="120" spans="2:14" ht="15">
      <c r="B120" s="40">
        <v>83387</v>
      </c>
      <c r="C120" s="40" t="s">
        <v>191</v>
      </c>
      <c r="D120" s="113" t="s">
        <v>48</v>
      </c>
      <c r="E120" s="113"/>
      <c r="F120" s="113"/>
      <c r="G120" s="39" t="s">
        <v>27</v>
      </c>
      <c r="H120" s="83">
        <v>48</v>
      </c>
      <c r="I120" s="84">
        <v>5.47</v>
      </c>
      <c r="J120" s="75">
        <f>I120*H120</f>
        <v>262.56</v>
      </c>
      <c r="K120" s="64">
        <f aca="true" t="shared" si="16" ref="K120:K141">J120*(1+($J$209/100))</f>
        <v>328.2</v>
      </c>
      <c r="L120" s="65">
        <f aca="true" t="shared" si="17" ref="L120:L141">IF(J120=0,0,100*J120/$J$179)</f>
        <v>1.1113225739226327</v>
      </c>
      <c r="M120" s="179"/>
      <c r="N120" s="51"/>
    </row>
    <row r="121" spans="2:14" ht="15">
      <c r="B121" s="40">
        <v>83388</v>
      </c>
      <c r="C121" s="40" t="s">
        <v>192</v>
      </c>
      <c r="D121" s="113" t="s">
        <v>49</v>
      </c>
      <c r="E121" s="113"/>
      <c r="F121" s="113"/>
      <c r="G121" s="39" t="s">
        <v>27</v>
      </c>
      <c r="H121" s="83">
        <v>23</v>
      </c>
      <c r="I121" s="84">
        <v>7.11</v>
      </c>
      <c r="J121" s="75">
        <f>I121*H121</f>
        <v>163.53</v>
      </c>
      <c r="K121" s="64">
        <f t="shared" si="16"/>
        <v>204.4125</v>
      </c>
      <c r="L121" s="65">
        <f t="shared" si="17"/>
        <v>0.6921640025653875</v>
      </c>
      <c r="M121" s="179"/>
      <c r="N121" s="51"/>
    </row>
    <row r="122" spans="2:14" ht="15">
      <c r="B122" s="40" t="s">
        <v>50</v>
      </c>
      <c r="C122" s="40" t="s">
        <v>193</v>
      </c>
      <c r="D122" s="113" t="s">
        <v>51</v>
      </c>
      <c r="E122" s="113"/>
      <c r="F122" s="113"/>
      <c r="G122" s="39" t="s">
        <v>26</v>
      </c>
      <c r="H122" s="83">
        <v>310</v>
      </c>
      <c r="I122" s="84">
        <v>1.88</v>
      </c>
      <c r="J122" s="75">
        <f>I122*H122</f>
        <v>582.8</v>
      </c>
      <c r="K122" s="64">
        <f t="shared" si="16"/>
        <v>728.5</v>
      </c>
      <c r="L122" s="65">
        <f t="shared" si="17"/>
        <v>2.4667839582651974</v>
      </c>
      <c r="M122" s="179"/>
      <c r="N122" s="51"/>
    </row>
    <row r="123" spans="2:14" ht="15" customHeight="1">
      <c r="B123" s="40" t="s">
        <v>55</v>
      </c>
      <c r="C123" s="40" t="s">
        <v>194</v>
      </c>
      <c r="D123" s="113" t="s">
        <v>52</v>
      </c>
      <c r="E123" s="113"/>
      <c r="F123" s="113"/>
      <c r="G123" s="39" t="s">
        <v>26</v>
      </c>
      <c r="H123" s="83">
        <v>520</v>
      </c>
      <c r="I123" s="84">
        <v>2.5</v>
      </c>
      <c r="J123" s="75">
        <f>I123*H123</f>
        <v>1300</v>
      </c>
      <c r="K123" s="64">
        <f t="shared" si="16"/>
        <v>1625</v>
      </c>
      <c r="L123" s="65">
        <f t="shared" si="17"/>
        <v>5.5024350476059665</v>
      </c>
      <c r="M123" s="179"/>
      <c r="N123" s="51"/>
    </row>
    <row r="124" spans="2:14" ht="15" customHeight="1">
      <c r="B124" s="40" t="s">
        <v>56</v>
      </c>
      <c r="C124" s="40" t="s">
        <v>195</v>
      </c>
      <c r="D124" s="113" t="s">
        <v>53</v>
      </c>
      <c r="E124" s="113"/>
      <c r="F124" s="113"/>
      <c r="G124" s="39" t="s">
        <v>26</v>
      </c>
      <c r="H124" s="83">
        <v>260</v>
      </c>
      <c r="I124" s="84">
        <v>3.74</v>
      </c>
      <c r="J124" s="75">
        <f>I124*H124</f>
        <v>972.4000000000001</v>
      </c>
      <c r="K124" s="64">
        <f t="shared" si="16"/>
        <v>1215.5</v>
      </c>
      <c r="L124" s="65">
        <f t="shared" si="17"/>
        <v>4.115821415609264</v>
      </c>
      <c r="M124" s="179"/>
      <c r="N124" s="51"/>
    </row>
    <row r="125" spans="2:14" ht="15" customHeight="1">
      <c r="B125" s="40" t="s">
        <v>57</v>
      </c>
      <c r="C125" s="40" t="s">
        <v>196</v>
      </c>
      <c r="D125" s="113" t="s">
        <v>54</v>
      </c>
      <c r="E125" s="113"/>
      <c r="F125" s="113"/>
      <c r="G125" s="39" t="s">
        <v>26</v>
      </c>
      <c r="H125" s="83">
        <v>355</v>
      </c>
      <c r="I125" s="84">
        <v>8.1</v>
      </c>
      <c r="J125" s="75">
        <f aca="true" t="shared" si="18" ref="J125:J130">I125*H125</f>
        <v>2875.5</v>
      </c>
      <c r="K125" s="64">
        <f t="shared" si="16"/>
        <v>3594.375</v>
      </c>
      <c r="L125" s="65">
        <f t="shared" si="17"/>
        <v>12.170963061069966</v>
      </c>
      <c r="M125" s="179"/>
      <c r="N125" s="51"/>
    </row>
    <row r="126" spans="2:14" ht="15">
      <c r="B126" s="40">
        <v>83446</v>
      </c>
      <c r="C126" s="40" t="s">
        <v>197</v>
      </c>
      <c r="D126" s="113" t="s">
        <v>58</v>
      </c>
      <c r="E126" s="113"/>
      <c r="F126" s="113"/>
      <c r="G126" s="39" t="s">
        <v>27</v>
      </c>
      <c r="H126" s="83">
        <v>2</v>
      </c>
      <c r="I126" s="84">
        <v>113.42</v>
      </c>
      <c r="J126" s="75">
        <f t="shared" si="18"/>
        <v>226.84</v>
      </c>
      <c r="K126" s="64">
        <f t="shared" si="16"/>
        <v>283.55</v>
      </c>
      <c r="L126" s="65">
        <f t="shared" si="17"/>
        <v>0.960132589383798</v>
      </c>
      <c r="M126" s="179"/>
      <c r="N126" s="51"/>
    </row>
    <row r="127" spans="2:14" ht="15">
      <c r="B127" s="40">
        <v>72334</v>
      </c>
      <c r="C127" s="40" t="s">
        <v>198</v>
      </c>
      <c r="D127" s="113" t="s">
        <v>59</v>
      </c>
      <c r="E127" s="113"/>
      <c r="F127" s="113"/>
      <c r="G127" s="39" t="s">
        <v>27</v>
      </c>
      <c r="H127" s="83">
        <v>8</v>
      </c>
      <c r="I127" s="84">
        <v>9.63</v>
      </c>
      <c r="J127" s="75">
        <f t="shared" si="18"/>
        <v>77.04</v>
      </c>
      <c r="K127" s="64">
        <f t="shared" si="16"/>
        <v>96.30000000000001</v>
      </c>
      <c r="L127" s="65">
        <f t="shared" si="17"/>
        <v>0.3260827662058182</v>
      </c>
      <c r="M127" s="179"/>
      <c r="N127" s="51"/>
    </row>
    <row r="128" spans="2:14" ht="15" customHeight="1">
      <c r="B128" s="40">
        <v>72332</v>
      </c>
      <c r="C128" s="40" t="s">
        <v>199</v>
      </c>
      <c r="D128" s="113" t="s">
        <v>60</v>
      </c>
      <c r="E128" s="113"/>
      <c r="F128" s="113"/>
      <c r="G128" s="39" t="s">
        <v>27</v>
      </c>
      <c r="H128" s="83">
        <v>4</v>
      </c>
      <c r="I128" s="84">
        <v>15.44</v>
      </c>
      <c r="J128" s="75">
        <f t="shared" si="18"/>
        <v>61.76</v>
      </c>
      <c r="K128" s="64">
        <f t="shared" si="16"/>
        <v>77.2</v>
      </c>
      <c r="L128" s="65">
        <f t="shared" si="17"/>
        <v>0.2614079911847265</v>
      </c>
      <c r="M128" s="179"/>
      <c r="N128" s="51"/>
    </row>
    <row r="129" spans="2:14" ht="15">
      <c r="B129" s="40">
        <v>83540</v>
      </c>
      <c r="C129" s="40" t="s">
        <v>200</v>
      </c>
      <c r="D129" s="113" t="s">
        <v>61</v>
      </c>
      <c r="E129" s="113"/>
      <c r="F129" s="113"/>
      <c r="G129" s="39" t="s">
        <v>27</v>
      </c>
      <c r="H129" s="83">
        <v>45</v>
      </c>
      <c r="I129" s="84">
        <v>9.7</v>
      </c>
      <c r="J129" s="75">
        <f>I129*H129</f>
        <v>436.49999999999994</v>
      </c>
      <c r="K129" s="64">
        <f t="shared" si="16"/>
        <v>545.6249999999999</v>
      </c>
      <c r="L129" s="65">
        <f t="shared" si="17"/>
        <v>1.8475483832923107</v>
      </c>
      <c r="M129" s="179"/>
      <c r="N129" s="51"/>
    </row>
    <row r="130" spans="2:14" ht="15">
      <c r="B130" s="40">
        <v>83566</v>
      </c>
      <c r="C130" s="40" t="s">
        <v>201</v>
      </c>
      <c r="D130" s="113" t="s">
        <v>62</v>
      </c>
      <c r="E130" s="113"/>
      <c r="F130" s="113"/>
      <c r="G130" s="39" t="s">
        <v>27</v>
      </c>
      <c r="H130" s="83">
        <v>4</v>
      </c>
      <c r="I130" s="84">
        <v>17.07</v>
      </c>
      <c r="J130" s="75">
        <f t="shared" si="18"/>
        <v>68.28</v>
      </c>
      <c r="K130" s="64">
        <f t="shared" si="16"/>
        <v>85.35</v>
      </c>
      <c r="L130" s="65">
        <f t="shared" si="17"/>
        <v>0.2890048192696426</v>
      </c>
      <c r="M130" s="179"/>
      <c r="N130" s="51"/>
    </row>
    <row r="131" spans="2:14" s="37" customFormat="1" ht="15">
      <c r="B131" s="47" t="s">
        <v>339</v>
      </c>
      <c r="C131" s="40" t="s">
        <v>202</v>
      </c>
      <c r="D131" s="113" t="s">
        <v>308</v>
      </c>
      <c r="E131" s="113"/>
      <c r="F131" s="113"/>
      <c r="G131" s="39" t="s">
        <v>27</v>
      </c>
      <c r="H131" s="83">
        <v>1</v>
      </c>
      <c r="I131" s="84">
        <v>93.93</v>
      </c>
      <c r="J131" s="75">
        <f>I131*H131</f>
        <v>93.93</v>
      </c>
      <c r="K131" s="64">
        <f t="shared" si="16"/>
        <v>117.41250000000001</v>
      </c>
      <c r="L131" s="65">
        <f t="shared" si="17"/>
        <v>0.39757209540125266</v>
      </c>
      <c r="M131" s="179"/>
      <c r="N131" s="51"/>
    </row>
    <row r="132" spans="2:14" ht="15">
      <c r="B132" s="40" t="s">
        <v>64</v>
      </c>
      <c r="C132" s="40" t="s">
        <v>203</v>
      </c>
      <c r="D132" s="113" t="s">
        <v>63</v>
      </c>
      <c r="E132" s="113"/>
      <c r="F132" s="113"/>
      <c r="G132" s="39" t="s">
        <v>27</v>
      </c>
      <c r="H132" s="83">
        <v>19</v>
      </c>
      <c r="I132" s="84">
        <v>53.63</v>
      </c>
      <c r="J132" s="75">
        <f aca="true" t="shared" si="19" ref="J132:J141">I132*H132</f>
        <v>1018.97</v>
      </c>
      <c r="K132" s="64">
        <f t="shared" si="16"/>
        <v>1273.7125</v>
      </c>
      <c r="L132" s="65">
        <f t="shared" si="17"/>
        <v>4.312935569583886</v>
      </c>
      <c r="M132" s="179"/>
      <c r="N132" s="51"/>
    </row>
    <row r="133" spans="2:14" ht="15">
      <c r="B133" s="40">
        <v>72934</v>
      </c>
      <c r="C133" s="40" t="s">
        <v>204</v>
      </c>
      <c r="D133" s="113" t="s">
        <v>65</v>
      </c>
      <c r="E133" s="113"/>
      <c r="F133" s="113"/>
      <c r="G133" s="39" t="s">
        <v>27</v>
      </c>
      <c r="H133" s="83">
        <v>220</v>
      </c>
      <c r="I133" s="84">
        <v>3.62</v>
      </c>
      <c r="J133" s="75">
        <f t="shared" si="19"/>
        <v>796.4</v>
      </c>
      <c r="K133" s="64">
        <f t="shared" si="16"/>
        <v>995.5</v>
      </c>
      <c r="L133" s="65">
        <f t="shared" si="17"/>
        <v>3.3708763630103014</v>
      </c>
      <c r="M133" s="179"/>
      <c r="N133" s="51"/>
    </row>
    <row r="134" spans="2:14" ht="15">
      <c r="B134" s="40">
        <v>72935</v>
      </c>
      <c r="C134" s="40" t="s">
        <v>205</v>
      </c>
      <c r="D134" s="113" t="s">
        <v>66</v>
      </c>
      <c r="E134" s="113"/>
      <c r="F134" s="113"/>
      <c r="G134" s="39" t="s">
        <v>27</v>
      </c>
      <c r="H134" s="83">
        <v>30</v>
      </c>
      <c r="I134" s="84">
        <v>4.6</v>
      </c>
      <c r="J134" s="75">
        <f t="shared" si="19"/>
        <v>138</v>
      </c>
      <c r="K134" s="64">
        <f t="shared" si="16"/>
        <v>172.5</v>
      </c>
      <c r="L134" s="65">
        <f t="shared" si="17"/>
        <v>0.584104643515095</v>
      </c>
      <c r="M134" s="179"/>
      <c r="N134" s="51"/>
    </row>
    <row r="135" spans="2:14" ht="15">
      <c r="B135" s="40">
        <v>55866</v>
      </c>
      <c r="C135" s="40" t="s">
        <v>206</v>
      </c>
      <c r="D135" s="113" t="s">
        <v>67</v>
      </c>
      <c r="E135" s="113"/>
      <c r="F135" s="113"/>
      <c r="G135" s="39" t="s">
        <v>27</v>
      </c>
      <c r="H135" s="83">
        <v>95</v>
      </c>
      <c r="I135" s="84">
        <v>16.61</v>
      </c>
      <c r="J135" s="75">
        <f t="shared" si="19"/>
        <v>1577.95</v>
      </c>
      <c r="K135" s="64">
        <f t="shared" si="16"/>
        <v>1972.4375</v>
      </c>
      <c r="L135" s="65">
        <f t="shared" si="17"/>
        <v>6.678897987207565</v>
      </c>
      <c r="M135" s="179"/>
      <c r="N135" s="51"/>
    </row>
    <row r="136" spans="2:14" ht="15">
      <c r="B136" s="40" t="s">
        <v>69</v>
      </c>
      <c r="C136" s="40" t="s">
        <v>207</v>
      </c>
      <c r="D136" s="113" t="s">
        <v>68</v>
      </c>
      <c r="E136" s="113"/>
      <c r="F136" s="113"/>
      <c r="G136" s="39" t="s">
        <v>27</v>
      </c>
      <c r="H136" s="83">
        <v>10</v>
      </c>
      <c r="I136" s="84">
        <v>84.58</v>
      </c>
      <c r="J136" s="75">
        <f t="shared" si="19"/>
        <v>845.8</v>
      </c>
      <c r="K136" s="64">
        <f t="shared" si="16"/>
        <v>1057.25</v>
      </c>
      <c r="L136" s="65">
        <f t="shared" si="17"/>
        <v>3.579968894819328</v>
      </c>
      <c r="M136" s="179"/>
      <c r="N136" s="51"/>
    </row>
    <row r="137" spans="2:14" ht="15">
      <c r="B137" s="40" t="s">
        <v>71</v>
      </c>
      <c r="C137" s="40" t="s">
        <v>208</v>
      </c>
      <c r="D137" s="113" t="s">
        <v>70</v>
      </c>
      <c r="E137" s="113"/>
      <c r="F137" s="113"/>
      <c r="G137" s="39" t="s">
        <v>27</v>
      </c>
      <c r="H137" s="83">
        <v>12</v>
      </c>
      <c r="I137" s="84">
        <v>40.44</v>
      </c>
      <c r="J137" s="75">
        <f t="shared" si="19"/>
        <v>485.28</v>
      </c>
      <c r="K137" s="64">
        <f t="shared" si="16"/>
        <v>606.5999999999999</v>
      </c>
      <c r="L137" s="65">
        <f t="shared" si="17"/>
        <v>2.0540166768478643</v>
      </c>
      <c r="M137" s="179"/>
      <c r="N137" s="51"/>
    </row>
    <row r="138" spans="2:14" ht="15">
      <c r="B138" s="40">
        <v>83391</v>
      </c>
      <c r="C138" s="40" t="s">
        <v>209</v>
      </c>
      <c r="D138" s="113" t="s">
        <v>72</v>
      </c>
      <c r="E138" s="113"/>
      <c r="F138" s="113"/>
      <c r="G138" s="39" t="s">
        <v>27</v>
      </c>
      <c r="H138" s="83">
        <v>10</v>
      </c>
      <c r="I138" s="84">
        <v>35.48</v>
      </c>
      <c r="J138" s="75">
        <f t="shared" si="19"/>
        <v>354.79999999999995</v>
      </c>
      <c r="K138" s="64">
        <f t="shared" si="16"/>
        <v>443.49999999999994</v>
      </c>
      <c r="L138" s="65">
        <f t="shared" si="17"/>
        <v>1.5017415037619972</v>
      </c>
      <c r="M138" s="179"/>
      <c r="N138" s="51"/>
    </row>
    <row r="139" spans="2:14" ht="15">
      <c r="B139" s="40">
        <v>72274</v>
      </c>
      <c r="C139" s="40" t="s">
        <v>210</v>
      </c>
      <c r="D139" s="113" t="s">
        <v>73</v>
      </c>
      <c r="E139" s="113"/>
      <c r="F139" s="113"/>
      <c r="G139" s="39" t="s">
        <v>27</v>
      </c>
      <c r="H139" s="83">
        <v>12</v>
      </c>
      <c r="I139" s="84">
        <v>2.14</v>
      </c>
      <c r="J139" s="75">
        <f t="shared" si="19"/>
        <v>25.68</v>
      </c>
      <c r="K139" s="64">
        <f t="shared" si="16"/>
        <v>32.1</v>
      </c>
      <c r="L139" s="65">
        <f t="shared" si="17"/>
        <v>0.1086942554019394</v>
      </c>
      <c r="M139" s="179"/>
      <c r="N139" s="51"/>
    </row>
    <row r="140" spans="2:14" ht="15">
      <c r="B140" s="40">
        <v>83469</v>
      </c>
      <c r="C140" s="40" t="s">
        <v>211</v>
      </c>
      <c r="D140" s="113" t="s">
        <v>74</v>
      </c>
      <c r="E140" s="113"/>
      <c r="F140" s="113"/>
      <c r="G140" s="39" t="s">
        <v>27</v>
      </c>
      <c r="H140" s="83">
        <v>20</v>
      </c>
      <c r="I140" s="84">
        <v>4.74</v>
      </c>
      <c r="J140" s="75">
        <f t="shared" si="19"/>
        <v>94.80000000000001</v>
      </c>
      <c r="K140" s="64">
        <f t="shared" si="16"/>
        <v>118.50000000000001</v>
      </c>
      <c r="L140" s="65">
        <f t="shared" si="17"/>
        <v>0.4012544942408044</v>
      </c>
      <c r="M140" s="179"/>
      <c r="N140" s="51"/>
    </row>
    <row r="141" spans="2:14" ht="22.5" customHeight="1">
      <c r="B141" s="47" t="s">
        <v>75</v>
      </c>
      <c r="C141" s="40" t="s">
        <v>212</v>
      </c>
      <c r="D141" s="113" t="s">
        <v>309</v>
      </c>
      <c r="E141" s="113"/>
      <c r="F141" s="113"/>
      <c r="G141" s="39" t="s">
        <v>27</v>
      </c>
      <c r="H141" s="83">
        <v>1</v>
      </c>
      <c r="I141" s="84">
        <v>320.88</v>
      </c>
      <c r="J141" s="75">
        <f t="shared" si="19"/>
        <v>320.88</v>
      </c>
      <c r="K141" s="64">
        <f t="shared" si="16"/>
        <v>401.1</v>
      </c>
      <c r="L141" s="65">
        <f t="shared" si="17"/>
        <v>1.358170275442925</v>
      </c>
      <c r="M141" s="179"/>
      <c r="N141" s="51"/>
    </row>
    <row r="142" spans="2:14" ht="15">
      <c r="B142" s="41"/>
      <c r="C142" s="44" t="s">
        <v>213</v>
      </c>
      <c r="D142" s="161" t="s">
        <v>76</v>
      </c>
      <c r="E142" s="161"/>
      <c r="F142" s="161"/>
      <c r="G142" s="42"/>
      <c r="H142" s="85"/>
      <c r="I142" s="86"/>
      <c r="J142" s="82"/>
      <c r="K142" s="82"/>
      <c r="L142" s="69"/>
      <c r="M142" s="179"/>
      <c r="N142" s="51"/>
    </row>
    <row r="143" spans="2:14" ht="15">
      <c r="B143" s="40">
        <v>72289</v>
      </c>
      <c r="C143" s="40" t="s">
        <v>214</v>
      </c>
      <c r="D143" s="113" t="s">
        <v>77</v>
      </c>
      <c r="E143" s="113"/>
      <c r="F143" s="113"/>
      <c r="G143" s="39" t="s">
        <v>27</v>
      </c>
      <c r="H143" s="83">
        <v>6</v>
      </c>
      <c r="I143" s="84">
        <v>256.13</v>
      </c>
      <c r="J143" s="75">
        <f aca="true" t="shared" si="20" ref="J143:J155">I143*H143</f>
        <v>1536.78</v>
      </c>
      <c r="K143" s="64">
        <f aca="true" t="shared" si="21" ref="K143:K169">J143*(1+($J$209/100))</f>
        <v>1920.975</v>
      </c>
      <c r="L143" s="65">
        <f aca="true" t="shared" si="22" ref="L143:L169">IF(J143=0,0,100*J143/$J$179)</f>
        <v>6.504640101892228</v>
      </c>
      <c r="M143" s="179"/>
      <c r="N143" s="51"/>
    </row>
    <row r="144" spans="2:14" ht="15">
      <c r="B144" s="40">
        <v>40777</v>
      </c>
      <c r="C144" s="40" t="s">
        <v>215</v>
      </c>
      <c r="D144" s="113" t="s">
        <v>78</v>
      </c>
      <c r="E144" s="113"/>
      <c r="F144" s="113"/>
      <c r="G144" s="39" t="s">
        <v>27</v>
      </c>
      <c r="H144" s="83">
        <v>7</v>
      </c>
      <c r="I144" s="84">
        <v>28.73</v>
      </c>
      <c r="J144" s="75">
        <f t="shared" si="20"/>
        <v>201.11</v>
      </c>
      <c r="K144" s="64">
        <f t="shared" si="21"/>
        <v>251.38750000000002</v>
      </c>
      <c r="L144" s="65">
        <f t="shared" si="22"/>
        <v>0.851226701864643</v>
      </c>
      <c r="M144" s="179"/>
      <c r="N144" s="51"/>
    </row>
    <row r="145" spans="2:14" ht="15">
      <c r="B145" s="40">
        <v>72547</v>
      </c>
      <c r="C145" s="40" t="s">
        <v>216</v>
      </c>
      <c r="D145" s="113" t="s">
        <v>79</v>
      </c>
      <c r="E145" s="113"/>
      <c r="F145" s="113"/>
      <c r="G145" s="39" t="s">
        <v>27</v>
      </c>
      <c r="H145" s="83">
        <v>5</v>
      </c>
      <c r="I145" s="84">
        <v>6</v>
      </c>
      <c r="J145" s="75">
        <f t="shared" si="20"/>
        <v>30</v>
      </c>
      <c r="K145" s="64">
        <f t="shared" si="21"/>
        <v>37.5</v>
      </c>
      <c r="L145" s="65">
        <f t="shared" si="22"/>
        <v>0.12697927032936845</v>
      </c>
      <c r="M145" s="179"/>
      <c r="N145" s="51"/>
    </row>
    <row r="146" spans="2:14" ht="15">
      <c r="B146" s="40">
        <v>72559</v>
      </c>
      <c r="C146" s="40" t="s">
        <v>217</v>
      </c>
      <c r="D146" s="113" t="s">
        <v>80</v>
      </c>
      <c r="E146" s="113"/>
      <c r="F146" s="113"/>
      <c r="G146" s="39" t="s">
        <v>27</v>
      </c>
      <c r="H146" s="83">
        <v>4</v>
      </c>
      <c r="I146" s="84">
        <v>6.98</v>
      </c>
      <c r="J146" s="75">
        <f t="shared" si="20"/>
        <v>27.92</v>
      </c>
      <c r="K146" s="64">
        <f t="shared" si="21"/>
        <v>34.900000000000006</v>
      </c>
      <c r="L146" s="65">
        <f t="shared" si="22"/>
        <v>0.1181753742531989</v>
      </c>
      <c r="M146" s="179"/>
      <c r="N146" s="51"/>
    </row>
    <row r="147" spans="2:14" ht="15">
      <c r="B147" s="40">
        <v>72561</v>
      </c>
      <c r="C147" s="40" t="s">
        <v>218</v>
      </c>
      <c r="D147" s="177" t="s">
        <v>81</v>
      </c>
      <c r="E147" s="177"/>
      <c r="F147" s="177"/>
      <c r="G147" s="39" t="s">
        <v>27</v>
      </c>
      <c r="H147" s="83">
        <v>2</v>
      </c>
      <c r="I147" s="84">
        <v>8.36</v>
      </c>
      <c r="J147" s="75">
        <f t="shared" si="20"/>
        <v>16.72</v>
      </c>
      <c r="K147" s="64">
        <f t="shared" si="21"/>
        <v>20.9</v>
      </c>
      <c r="L147" s="65">
        <f t="shared" si="22"/>
        <v>0.07076977999690136</v>
      </c>
      <c r="M147" s="179"/>
      <c r="N147" s="51"/>
    </row>
    <row r="148" spans="2:14" ht="15">
      <c r="B148" s="40">
        <v>72564</v>
      </c>
      <c r="C148" s="40" t="s">
        <v>219</v>
      </c>
      <c r="D148" s="113" t="s">
        <v>82</v>
      </c>
      <c r="E148" s="113"/>
      <c r="F148" s="113"/>
      <c r="G148" s="39" t="s">
        <v>27</v>
      </c>
      <c r="H148" s="83">
        <v>1</v>
      </c>
      <c r="I148" s="84">
        <v>12.76</v>
      </c>
      <c r="J148" s="75">
        <f t="shared" si="20"/>
        <v>12.76</v>
      </c>
      <c r="K148" s="64">
        <f t="shared" si="21"/>
        <v>15.95</v>
      </c>
      <c r="L148" s="65">
        <f t="shared" si="22"/>
        <v>0.054008516313424716</v>
      </c>
      <c r="M148" s="179"/>
      <c r="N148" s="51"/>
    </row>
    <row r="149" spans="2:14" ht="15">
      <c r="B149" s="40">
        <v>72557</v>
      </c>
      <c r="C149" s="40" t="s">
        <v>220</v>
      </c>
      <c r="D149" s="113" t="s">
        <v>83</v>
      </c>
      <c r="E149" s="113"/>
      <c r="F149" s="113"/>
      <c r="G149" s="39" t="s">
        <v>27</v>
      </c>
      <c r="H149" s="83">
        <v>3</v>
      </c>
      <c r="I149" s="84">
        <v>15.47</v>
      </c>
      <c r="J149" s="75">
        <f t="shared" si="20"/>
        <v>46.410000000000004</v>
      </c>
      <c r="K149" s="64">
        <f t="shared" si="21"/>
        <v>58.0125</v>
      </c>
      <c r="L149" s="65">
        <f t="shared" si="22"/>
        <v>0.196436931199533</v>
      </c>
      <c r="M149" s="179"/>
      <c r="N149" s="51"/>
    </row>
    <row r="150" spans="2:14" ht="15">
      <c r="B150" s="40">
        <v>72562</v>
      </c>
      <c r="C150" s="40" t="s">
        <v>221</v>
      </c>
      <c r="D150" s="113" t="s">
        <v>93</v>
      </c>
      <c r="E150" s="113"/>
      <c r="F150" s="113"/>
      <c r="G150" s="39" t="s">
        <v>27</v>
      </c>
      <c r="H150" s="83">
        <v>2</v>
      </c>
      <c r="I150" s="84">
        <v>12.25</v>
      </c>
      <c r="J150" s="75">
        <f t="shared" si="20"/>
        <v>24.5</v>
      </c>
      <c r="K150" s="64">
        <f t="shared" si="21"/>
        <v>30.625</v>
      </c>
      <c r="L150" s="65">
        <f t="shared" si="22"/>
        <v>0.1036997374356509</v>
      </c>
      <c r="M150" s="179"/>
      <c r="N150" s="51"/>
    </row>
    <row r="151" spans="2:14" ht="15">
      <c r="B151" s="40">
        <v>72556</v>
      </c>
      <c r="C151" s="40" t="s">
        <v>222</v>
      </c>
      <c r="D151" s="113" t="s">
        <v>84</v>
      </c>
      <c r="E151" s="113"/>
      <c r="F151" s="113"/>
      <c r="G151" s="39" t="s">
        <v>27</v>
      </c>
      <c r="H151" s="83">
        <v>6</v>
      </c>
      <c r="I151" s="84">
        <v>15.82</v>
      </c>
      <c r="J151" s="75">
        <f t="shared" si="20"/>
        <v>94.92</v>
      </c>
      <c r="K151" s="64">
        <f t="shared" si="21"/>
        <v>118.65</v>
      </c>
      <c r="L151" s="65">
        <f t="shared" si="22"/>
        <v>0.4017624113221218</v>
      </c>
      <c r="M151" s="179"/>
      <c r="N151" s="51"/>
    </row>
    <row r="152" spans="2:14" ht="15">
      <c r="B152" s="40" t="s">
        <v>85</v>
      </c>
      <c r="C152" s="40" t="s">
        <v>223</v>
      </c>
      <c r="D152" s="113" t="s">
        <v>86</v>
      </c>
      <c r="E152" s="113"/>
      <c r="F152" s="113"/>
      <c r="G152" s="39" t="s">
        <v>26</v>
      </c>
      <c r="H152" s="83">
        <v>8.3</v>
      </c>
      <c r="I152" s="84">
        <v>17.17</v>
      </c>
      <c r="J152" s="75">
        <f t="shared" si="20"/>
        <v>142.51100000000002</v>
      </c>
      <c r="K152" s="64">
        <f t="shared" si="21"/>
        <v>178.13875000000002</v>
      </c>
      <c r="L152" s="65">
        <f t="shared" si="22"/>
        <v>0.6031980931302877</v>
      </c>
      <c r="M152" s="179"/>
      <c r="N152" s="51"/>
    </row>
    <row r="153" spans="2:14" ht="15">
      <c r="B153" s="40" t="s">
        <v>90</v>
      </c>
      <c r="C153" s="40" t="s">
        <v>224</v>
      </c>
      <c r="D153" s="113" t="s">
        <v>87</v>
      </c>
      <c r="E153" s="113"/>
      <c r="F153" s="113"/>
      <c r="G153" s="39" t="s">
        <v>26</v>
      </c>
      <c r="H153" s="83">
        <v>16.67</v>
      </c>
      <c r="I153" s="84">
        <v>22.83</v>
      </c>
      <c r="J153" s="75">
        <f t="shared" si="20"/>
        <v>380.5761</v>
      </c>
      <c r="K153" s="64">
        <f t="shared" si="21"/>
        <v>475.720125</v>
      </c>
      <c r="L153" s="65">
        <f t="shared" si="22"/>
        <v>1.6108425160932254</v>
      </c>
      <c r="M153" s="179"/>
      <c r="N153" s="51"/>
    </row>
    <row r="154" spans="2:14" ht="15">
      <c r="B154" s="40" t="s">
        <v>91</v>
      </c>
      <c r="C154" s="40" t="s">
        <v>225</v>
      </c>
      <c r="D154" s="113" t="s">
        <v>88</v>
      </c>
      <c r="E154" s="113"/>
      <c r="F154" s="113"/>
      <c r="G154" s="39" t="s">
        <v>26</v>
      </c>
      <c r="H154" s="83">
        <v>28.5</v>
      </c>
      <c r="I154" s="84">
        <v>31.37</v>
      </c>
      <c r="J154" s="75">
        <f t="shared" si="20"/>
        <v>894.0450000000001</v>
      </c>
      <c r="K154" s="64">
        <f t="shared" si="21"/>
        <v>1117.55625</v>
      </c>
      <c r="L154" s="65">
        <f t="shared" si="22"/>
        <v>3.784172724720674</v>
      </c>
      <c r="M154" s="179"/>
      <c r="N154" s="51"/>
    </row>
    <row r="155" spans="2:14" ht="15">
      <c r="B155" s="40" t="s">
        <v>92</v>
      </c>
      <c r="C155" s="40" t="s">
        <v>226</v>
      </c>
      <c r="D155" s="113" t="s">
        <v>89</v>
      </c>
      <c r="E155" s="113"/>
      <c r="F155" s="113"/>
      <c r="G155" s="39" t="s">
        <v>26</v>
      </c>
      <c r="H155" s="83">
        <v>45.6</v>
      </c>
      <c r="I155" s="84">
        <v>33.41</v>
      </c>
      <c r="J155" s="75">
        <f t="shared" si="20"/>
        <v>1523.4959999999999</v>
      </c>
      <c r="K155" s="64">
        <f t="shared" si="21"/>
        <v>1904.37</v>
      </c>
      <c r="L155" s="65">
        <f t="shared" si="22"/>
        <v>6.448413680990383</v>
      </c>
      <c r="M155" s="179"/>
      <c r="N155" s="51"/>
    </row>
    <row r="156" spans="2:14" ht="15">
      <c r="B156" s="40" t="s">
        <v>97</v>
      </c>
      <c r="C156" s="40" t="s">
        <v>227</v>
      </c>
      <c r="D156" s="113" t="s">
        <v>96</v>
      </c>
      <c r="E156" s="113"/>
      <c r="F156" s="113"/>
      <c r="G156" s="39" t="s">
        <v>27</v>
      </c>
      <c r="H156" s="83">
        <v>6</v>
      </c>
      <c r="I156" s="84">
        <v>62.2</v>
      </c>
      <c r="J156" s="75">
        <f aca="true" t="shared" si="23" ref="J156:J178">I156*H156</f>
        <v>373.20000000000005</v>
      </c>
      <c r="K156" s="64">
        <f t="shared" si="21"/>
        <v>466.50000000000006</v>
      </c>
      <c r="L156" s="65">
        <f t="shared" si="22"/>
        <v>1.579622122897344</v>
      </c>
      <c r="M156" s="179"/>
      <c r="N156" s="51"/>
    </row>
    <row r="157" spans="2:14" ht="15">
      <c r="B157" s="40">
        <v>72794</v>
      </c>
      <c r="C157" s="40" t="s">
        <v>228</v>
      </c>
      <c r="D157" s="113" t="s">
        <v>98</v>
      </c>
      <c r="E157" s="113"/>
      <c r="F157" s="113"/>
      <c r="G157" s="39" t="s">
        <v>27</v>
      </c>
      <c r="H157" s="83">
        <v>1</v>
      </c>
      <c r="I157" s="84">
        <v>112.27</v>
      </c>
      <c r="J157" s="75">
        <f t="shared" si="23"/>
        <v>112.27</v>
      </c>
      <c r="K157" s="64">
        <f t="shared" si="21"/>
        <v>140.3375</v>
      </c>
      <c r="L157" s="65">
        <f t="shared" si="22"/>
        <v>0.47519875599593986</v>
      </c>
      <c r="M157" s="179"/>
      <c r="N157" s="51"/>
    </row>
    <row r="158" spans="2:14" ht="15">
      <c r="B158" s="40">
        <v>72784</v>
      </c>
      <c r="C158" s="40" t="s">
        <v>229</v>
      </c>
      <c r="D158" s="113" t="s">
        <v>99</v>
      </c>
      <c r="E158" s="113"/>
      <c r="F158" s="113"/>
      <c r="G158" s="39" t="s">
        <v>27</v>
      </c>
      <c r="H158" s="83">
        <v>1</v>
      </c>
      <c r="I158" s="84">
        <v>9.23</v>
      </c>
      <c r="J158" s="75">
        <f t="shared" si="23"/>
        <v>9.23</v>
      </c>
      <c r="K158" s="64">
        <f t="shared" si="21"/>
        <v>11.537500000000001</v>
      </c>
      <c r="L158" s="65">
        <f t="shared" si="22"/>
        <v>0.03906728883800236</v>
      </c>
      <c r="M158" s="179"/>
      <c r="N158" s="51"/>
    </row>
    <row r="159" spans="2:14" ht="15">
      <c r="B159" s="40">
        <v>72703</v>
      </c>
      <c r="C159" s="40" t="s">
        <v>230</v>
      </c>
      <c r="D159" s="113" t="s">
        <v>310</v>
      </c>
      <c r="E159" s="113"/>
      <c r="F159" s="113"/>
      <c r="G159" s="39" t="s">
        <v>27</v>
      </c>
      <c r="H159" s="83">
        <v>1</v>
      </c>
      <c r="I159" s="84">
        <v>6.08</v>
      </c>
      <c r="J159" s="75">
        <f t="shared" si="23"/>
        <v>6.08</v>
      </c>
      <c r="K159" s="64">
        <f t="shared" si="21"/>
        <v>7.6</v>
      </c>
      <c r="L159" s="65">
        <f t="shared" si="22"/>
        <v>0.025734465453418672</v>
      </c>
      <c r="M159" s="179"/>
      <c r="N159" s="51"/>
    </row>
    <row r="160" spans="2:14" s="37" customFormat="1" ht="15">
      <c r="B160" s="47">
        <v>72703</v>
      </c>
      <c r="C160" s="40" t="s">
        <v>231</v>
      </c>
      <c r="D160" s="113" t="s">
        <v>311</v>
      </c>
      <c r="E160" s="113"/>
      <c r="F160" s="113"/>
      <c r="G160" s="39" t="s">
        <v>27</v>
      </c>
      <c r="H160" s="83">
        <v>1</v>
      </c>
      <c r="I160" s="84">
        <v>6.08</v>
      </c>
      <c r="J160" s="75">
        <f>I160*H160</f>
        <v>6.08</v>
      </c>
      <c r="K160" s="64">
        <f t="shared" si="21"/>
        <v>7.6</v>
      </c>
      <c r="L160" s="65">
        <f t="shared" si="22"/>
        <v>0.025734465453418672</v>
      </c>
      <c r="M160" s="179"/>
      <c r="N160" s="51"/>
    </row>
    <row r="161" spans="2:14" ht="15">
      <c r="B161" s="40">
        <v>72573</v>
      </c>
      <c r="C161" s="40" t="s">
        <v>232</v>
      </c>
      <c r="D161" s="113" t="s">
        <v>100</v>
      </c>
      <c r="E161" s="113"/>
      <c r="F161" s="113"/>
      <c r="G161" s="39" t="s">
        <v>27</v>
      </c>
      <c r="H161" s="83">
        <v>15</v>
      </c>
      <c r="I161" s="84">
        <v>5.75</v>
      </c>
      <c r="J161" s="75">
        <f t="shared" si="23"/>
        <v>86.25</v>
      </c>
      <c r="K161" s="64">
        <f t="shared" si="21"/>
        <v>107.8125</v>
      </c>
      <c r="L161" s="65">
        <f t="shared" si="22"/>
        <v>0.3650654021969343</v>
      </c>
      <c r="M161" s="179"/>
      <c r="N161" s="51"/>
    </row>
    <row r="162" spans="2:14" ht="15">
      <c r="B162" s="40">
        <v>72579</v>
      </c>
      <c r="C162" s="40" t="s">
        <v>233</v>
      </c>
      <c r="D162" s="113" t="s">
        <v>101</v>
      </c>
      <c r="E162" s="113"/>
      <c r="F162" s="113"/>
      <c r="G162" s="39" t="s">
        <v>27</v>
      </c>
      <c r="H162" s="83">
        <v>4</v>
      </c>
      <c r="I162" s="84">
        <v>9.87</v>
      </c>
      <c r="J162" s="75">
        <f t="shared" si="23"/>
        <v>39.48</v>
      </c>
      <c r="K162" s="64">
        <f t="shared" si="21"/>
        <v>49.349999999999994</v>
      </c>
      <c r="L162" s="65">
        <f t="shared" si="22"/>
        <v>0.16710471975344887</v>
      </c>
      <c r="M162" s="179"/>
      <c r="N162" s="51"/>
    </row>
    <row r="163" spans="2:14" ht="15">
      <c r="B163" s="40">
        <v>72581</v>
      </c>
      <c r="C163" s="40" t="s">
        <v>234</v>
      </c>
      <c r="D163" s="113" t="s">
        <v>312</v>
      </c>
      <c r="E163" s="113"/>
      <c r="F163" s="113"/>
      <c r="G163" s="39" t="s">
        <v>27</v>
      </c>
      <c r="H163" s="83">
        <v>8</v>
      </c>
      <c r="I163" s="84">
        <v>6.35</v>
      </c>
      <c r="J163" s="75">
        <f t="shared" si="23"/>
        <v>50.8</v>
      </c>
      <c r="K163" s="64">
        <f t="shared" si="21"/>
        <v>63.5</v>
      </c>
      <c r="L163" s="65">
        <f t="shared" si="22"/>
        <v>0.2150182310910639</v>
      </c>
      <c r="M163" s="179"/>
      <c r="N163" s="51"/>
    </row>
    <row r="164" spans="2:14" ht="15">
      <c r="B164" s="47">
        <v>72454</v>
      </c>
      <c r="C164" s="40" t="s">
        <v>235</v>
      </c>
      <c r="D164" s="113" t="s">
        <v>313</v>
      </c>
      <c r="E164" s="113"/>
      <c r="F164" s="113"/>
      <c r="G164" s="39" t="s">
        <v>27</v>
      </c>
      <c r="H164" s="83">
        <v>2</v>
      </c>
      <c r="I164" s="84">
        <v>12.45</v>
      </c>
      <c r="J164" s="75">
        <f t="shared" si="23"/>
        <v>24.9</v>
      </c>
      <c r="K164" s="64">
        <f t="shared" si="21"/>
        <v>31.125</v>
      </c>
      <c r="L164" s="65">
        <f t="shared" si="22"/>
        <v>0.10539279437337581</v>
      </c>
      <c r="M164" s="179"/>
      <c r="N164" s="51"/>
    </row>
    <row r="165" spans="2:14" ht="15">
      <c r="B165" s="40">
        <v>73641</v>
      </c>
      <c r="C165" s="40" t="s">
        <v>236</v>
      </c>
      <c r="D165" s="113" t="s">
        <v>102</v>
      </c>
      <c r="E165" s="113"/>
      <c r="F165" s="113"/>
      <c r="G165" s="39" t="s">
        <v>27</v>
      </c>
      <c r="H165" s="83">
        <v>12</v>
      </c>
      <c r="I165" s="84">
        <v>6.78</v>
      </c>
      <c r="J165" s="75">
        <f t="shared" si="23"/>
        <v>81.36</v>
      </c>
      <c r="K165" s="64">
        <f t="shared" si="21"/>
        <v>101.7</v>
      </c>
      <c r="L165" s="65">
        <f t="shared" si="22"/>
        <v>0.34436778113324723</v>
      </c>
      <c r="M165" s="179"/>
      <c r="N165" s="51"/>
    </row>
    <row r="166" spans="2:14" ht="15">
      <c r="B166" s="40" t="s">
        <v>105</v>
      </c>
      <c r="C166" s="40" t="s">
        <v>237</v>
      </c>
      <c r="D166" s="113" t="s">
        <v>103</v>
      </c>
      <c r="E166" s="113"/>
      <c r="F166" s="113"/>
      <c r="G166" s="39" t="s">
        <v>26</v>
      </c>
      <c r="H166" s="83">
        <v>25.6</v>
      </c>
      <c r="I166" s="84">
        <v>4.84</v>
      </c>
      <c r="J166" s="75">
        <f t="shared" si="23"/>
        <v>123.904</v>
      </c>
      <c r="K166" s="64">
        <f t="shared" si="21"/>
        <v>154.88</v>
      </c>
      <c r="L166" s="65">
        <f t="shared" si="22"/>
        <v>0.5244413170296689</v>
      </c>
      <c r="M166" s="179"/>
      <c r="N166" s="51"/>
    </row>
    <row r="167" spans="2:14" ht="15">
      <c r="B167" s="40" t="s">
        <v>106</v>
      </c>
      <c r="C167" s="40" t="s">
        <v>238</v>
      </c>
      <c r="D167" s="113" t="s">
        <v>104</v>
      </c>
      <c r="E167" s="113"/>
      <c r="F167" s="113"/>
      <c r="G167" s="39" t="s">
        <v>26</v>
      </c>
      <c r="H167" s="83">
        <v>14.5</v>
      </c>
      <c r="I167" s="84">
        <v>13.4</v>
      </c>
      <c r="J167" s="75">
        <f t="shared" si="23"/>
        <v>194.3</v>
      </c>
      <c r="K167" s="64">
        <f t="shared" si="21"/>
        <v>242.875</v>
      </c>
      <c r="L167" s="65">
        <f t="shared" si="22"/>
        <v>0.8224024074998764</v>
      </c>
      <c r="M167" s="179"/>
      <c r="N167" s="51"/>
    </row>
    <row r="168" spans="2:14" ht="15">
      <c r="B168" s="47" t="s">
        <v>338</v>
      </c>
      <c r="C168" s="40" t="s">
        <v>239</v>
      </c>
      <c r="D168" s="113" t="s">
        <v>314</v>
      </c>
      <c r="E168" s="113"/>
      <c r="F168" s="113"/>
      <c r="G168" s="39" t="s">
        <v>26</v>
      </c>
      <c r="H168" s="83">
        <v>18.39</v>
      </c>
      <c r="I168" s="84">
        <v>8.25</v>
      </c>
      <c r="J168" s="75">
        <f t="shared" si="23"/>
        <v>151.7175</v>
      </c>
      <c r="K168" s="64">
        <f t="shared" si="21"/>
        <v>189.646875</v>
      </c>
      <c r="L168" s="65">
        <f t="shared" si="22"/>
        <v>0.6421659148731986</v>
      </c>
      <c r="M168" s="179"/>
      <c r="N168" s="51"/>
    </row>
    <row r="169" spans="2:14" s="37" customFormat="1" ht="23.25" customHeight="1">
      <c r="B169" s="47" t="s">
        <v>336</v>
      </c>
      <c r="C169" s="40" t="s">
        <v>240</v>
      </c>
      <c r="D169" s="113" t="s">
        <v>337</v>
      </c>
      <c r="E169" s="113"/>
      <c r="F169" s="113"/>
      <c r="G169" s="39" t="s">
        <v>21</v>
      </c>
      <c r="H169" s="83">
        <v>8.55</v>
      </c>
      <c r="I169" s="84">
        <v>245.28</v>
      </c>
      <c r="J169" s="75">
        <f>I169*H169</f>
        <v>2097.1440000000002</v>
      </c>
      <c r="K169" s="64">
        <f t="shared" si="21"/>
        <v>2621.4300000000003</v>
      </c>
      <c r="L169" s="65">
        <f t="shared" si="22"/>
        <v>8.876460496520437</v>
      </c>
      <c r="M169" s="179"/>
      <c r="N169" s="51"/>
    </row>
    <row r="170" spans="2:14" s="37" customFormat="1" ht="15">
      <c r="B170" s="40" t="s">
        <v>129</v>
      </c>
      <c r="C170" s="40" t="s">
        <v>241</v>
      </c>
      <c r="D170" s="170" t="s">
        <v>271</v>
      </c>
      <c r="E170" s="171"/>
      <c r="F170" s="172"/>
      <c r="G170" s="3" t="s">
        <v>21</v>
      </c>
      <c r="H170" s="62">
        <v>6.44</v>
      </c>
      <c r="I170" s="87">
        <v>51.5</v>
      </c>
      <c r="J170" s="75">
        <v>331.66</v>
      </c>
      <c r="K170" s="88">
        <v>414.57500000000005</v>
      </c>
      <c r="L170" s="65">
        <v>7.836739492942208</v>
      </c>
      <c r="M170" s="179"/>
      <c r="N170" s="51"/>
    </row>
    <row r="171" spans="2:14" ht="23.25" customHeight="1">
      <c r="B171" s="47">
        <v>6021</v>
      </c>
      <c r="C171" s="40" t="s">
        <v>242</v>
      </c>
      <c r="D171" s="113" t="s">
        <v>317</v>
      </c>
      <c r="E171" s="113"/>
      <c r="F171" s="113"/>
      <c r="G171" s="39" t="s">
        <v>27</v>
      </c>
      <c r="H171" s="83">
        <v>2</v>
      </c>
      <c r="I171" s="84">
        <v>186.4</v>
      </c>
      <c r="J171" s="75">
        <f t="shared" si="23"/>
        <v>372.8</v>
      </c>
      <c r="K171" s="64">
        <f aca="true" t="shared" si="24" ref="K171:K176">J171*(1+($J$209/100))</f>
        <v>466</v>
      </c>
      <c r="L171" s="65">
        <f aca="true" t="shared" si="25" ref="L171:L176">IF(J171=0,0,100*J171/$J$179)</f>
        <v>1.5779290659596186</v>
      </c>
      <c r="M171" s="179"/>
      <c r="N171" s="51"/>
    </row>
    <row r="172" spans="2:14" s="37" customFormat="1" ht="23.25" customHeight="1">
      <c r="B172" s="47" t="s">
        <v>335</v>
      </c>
      <c r="C172" s="40" t="s">
        <v>243</v>
      </c>
      <c r="D172" s="113" t="s">
        <v>315</v>
      </c>
      <c r="E172" s="113"/>
      <c r="F172" s="113"/>
      <c r="G172" s="39" t="s">
        <v>27</v>
      </c>
      <c r="H172" s="83">
        <v>2</v>
      </c>
      <c r="I172" s="84">
        <v>378.33</v>
      </c>
      <c r="J172" s="75">
        <f>I172*H172</f>
        <v>756.66</v>
      </c>
      <c r="K172" s="64">
        <f t="shared" si="24"/>
        <v>945.8249999999999</v>
      </c>
      <c r="L172" s="65">
        <f t="shared" si="25"/>
        <v>3.202671156247331</v>
      </c>
      <c r="M172" s="179"/>
      <c r="N172" s="51"/>
    </row>
    <row r="173" spans="2:14" ht="15">
      <c r="B173" s="40">
        <v>86895</v>
      </c>
      <c r="C173" s="40" t="s">
        <v>244</v>
      </c>
      <c r="D173" s="113" t="s">
        <v>107</v>
      </c>
      <c r="E173" s="113"/>
      <c r="F173" s="113"/>
      <c r="G173" s="39" t="s">
        <v>27</v>
      </c>
      <c r="H173" s="83">
        <v>2</v>
      </c>
      <c r="I173" s="84">
        <v>173.29</v>
      </c>
      <c r="J173" s="75">
        <f t="shared" si="23"/>
        <v>346.58</v>
      </c>
      <c r="K173" s="64">
        <f t="shared" si="24"/>
        <v>433.22499999999997</v>
      </c>
      <c r="L173" s="65">
        <f t="shared" si="25"/>
        <v>1.4669491836917505</v>
      </c>
      <c r="M173" s="179"/>
      <c r="N173" s="51"/>
    </row>
    <row r="174" spans="2:14" s="37" customFormat="1" ht="15">
      <c r="B174" s="47">
        <v>86904</v>
      </c>
      <c r="C174" s="40" t="s">
        <v>245</v>
      </c>
      <c r="D174" s="113" t="s">
        <v>316</v>
      </c>
      <c r="E174" s="113"/>
      <c r="F174" s="113"/>
      <c r="G174" s="39" t="s">
        <v>27</v>
      </c>
      <c r="H174" s="83">
        <v>2</v>
      </c>
      <c r="I174" s="84">
        <v>78.67</v>
      </c>
      <c r="J174" s="75">
        <f>I174*H174</f>
        <v>157.34</v>
      </c>
      <c r="K174" s="64">
        <f t="shared" si="24"/>
        <v>196.675</v>
      </c>
      <c r="L174" s="65">
        <f t="shared" si="25"/>
        <v>0.6659639464540944</v>
      </c>
      <c r="M174" s="179"/>
      <c r="N174" s="51"/>
    </row>
    <row r="175" spans="2:14" s="37" customFormat="1" ht="15">
      <c r="B175" s="47">
        <v>27399</v>
      </c>
      <c r="C175" s="40" t="s">
        <v>246</v>
      </c>
      <c r="D175" s="113" t="s">
        <v>318</v>
      </c>
      <c r="E175" s="113"/>
      <c r="F175" s="113"/>
      <c r="G175" s="39" t="s">
        <v>27</v>
      </c>
      <c r="H175" s="83">
        <v>2</v>
      </c>
      <c r="I175" s="84">
        <v>79.34</v>
      </c>
      <c r="J175" s="75">
        <f>I175*H175</f>
        <v>158.68</v>
      </c>
      <c r="K175" s="64">
        <f t="shared" si="24"/>
        <v>198.35000000000002</v>
      </c>
      <c r="L175" s="65">
        <f t="shared" si="25"/>
        <v>0.6716356871954728</v>
      </c>
      <c r="M175" s="179"/>
      <c r="N175" s="51"/>
    </row>
    <row r="176" spans="2:14" ht="15">
      <c r="B176" s="40">
        <v>86906</v>
      </c>
      <c r="C176" s="40" t="s">
        <v>247</v>
      </c>
      <c r="D176" s="113" t="s">
        <v>108</v>
      </c>
      <c r="E176" s="113"/>
      <c r="F176" s="113"/>
      <c r="G176" s="39" t="s">
        <v>27</v>
      </c>
      <c r="H176" s="83">
        <v>4</v>
      </c>
      <c r="I176" s="84">
        <v>35.79</v>
      </c>
      <c r="J176" s="75">
        <f t="shared" si="23"/>
        <v>143.16</v>
      </c>
      <c r="K176" s="64">
        <f t="shared" si="24"/>
        <v>178.95</v>
      </c>
      <c r="L176" s="65">
        <f t="shared" si="25"/>
        <v>0.6059450780117462</v>
      </c>
      <c r="M176" s="179"/>
      <c r="N176" s="51"/>
    </row>
    <row r="177" spans="2:14" s="37" customFormat="1" ht="15">
      <c r="B177" s="40">
        <v>9535</v>
      </c>
      <c r="C177" s="40" t="s">
        <v>248</v>
      </c>
      <c r="D177" s="114" t="s">
        <v>275</v>
      </c>
      <c r="E177" s="115"/>
      <c r="F177" s="116"/>
      <c r="G177" s="39" t="s">
        <v>27</v>
      </c>
      <c r="H177" s="83">
        <v>3</v>
      </c>
      <c r="I177" s="84">
        <v>38.36</v>
      </c>
      <c r="J177" s="75">
        <v>38.36</v>
      </c>
      <c r="K177" s="88">
        <v>47.95</v>
      </c>
      <c r="L177" s="65">
        <v>2.0425714270348596</v>
      </c>
      <c r="M177" s="179"/>
      <c r="N177" s="51"/>
    </row>
    <row r="178" spans="2:14" ht="15">
      <c r="B178" s="47" t="s">
        <v>330</v>
      </c>
      <c r="C178" s="40" t="s">
        <v>249</v>
      </c>
      <c r="D178" s="113" t="s">
        <v>334</v>
      </c>
      <c r="E178" s="113"/>
      <c r="F178" s="113"/>
      <c r="G178" s="39" t="s">
        <v>27</v>
      </c>
      <c r="H178" s="83">
        <v>1</v>
      </c>
      <c r="I178" s="84">
        <v>252.5</v>
      </c>
      <c r="J178" s="75">
        <f t="shared" si="23"/>
        <v>252.5</v>
      </c>
      <c r="K178" s="64">
        <f>J178*(1+($J$209/100))</f>
        <v>315.625</v>
      </c>
      <c r="L178" s="65">
        <f>IF(J178=0,0,100*J178/$J$179)</f>
        <v>1.0687421919388511</v>
      </c>
      <c r="M178" s="180"/>
      <c r="N178" s="51"/>
    </row>
    <row r="179" spans="2:14" ht="15">
      <c r="B179" s="144" t="s">
        <v>11</v>
      </c>
      <c r="C179" s="144"/>
      <c r="D179" s="144"/>
      <c r="E179" s="144"/>
      <c r="F179" s="144"/>
      <c r="G179" s="144"/>
      <c r="H179" s="144"/>
      <c r="I179" s="144"/>
      <c r="J179" s="50">
        <f>SUM(J119:J178)</f>
        <v>23625.903600000005</v>
      </c>
      <c r="K179" s="50">
        <f>SUM(K119:K178)</f>
        <v>29532.379500000003</v>
      </c>
      <c r="L179" s="66">
        <f>SUM(L119:L178)</f>
        <v>108.31314859973465</v>
      </c>
      <c r="M179" s="67">
        <f>IF($J$207=0,0,J179/$J$207)</f>
        <v>0.0704301946457445</v>
      </c>
      <c r="N179" s="51"/>
    </row>
    <row r="180" spans="2:14" s="37" customFormat="1" ht="15">
      <c r="B180" s="61"/>
      <c r="C180" s="61">
        <v>9</v>
      </c>
      <c r="D180" s="138" t="s">
        <v>340</v>
      </c>
      <c r="E180" s="138"/>
      <c r="F180" s="138"/>
      <c r="G180" s="138"/>
      <c r="H180" s="138"/>
      <c r="I180" s="138"/>
      <c r="J180" s="138"/>
      <c r="K180" s="138"/>
      <c r="L180" s="138"/>
      <c r="M180" s="138"/>
      <c r="N180" s="51"/>
    </row>
    <row r="181" spans="2:14" s="37" customFormat="1" ht="23.25" customHeight="1">
      <c r="B181" s="40" t="s">
        <v>330</v>
      </c>
      <c r="C181" s="40" t="s">
        <v>250</v>
      </c>
      <c r="D181" s="113" t="s">
        <v>341</v>
      </c>
      <c r="E181" s="113"/>
      <c r="F181" s="113"/>
      <c r="G181" s="39" t="s">
        <v>27</v>
      </c>
      <c r="H181" s="83">
        <v>1</v>
      </c>
      <c r="I181" s="84">
        <v>3250.25</v>
      </c>
      <c r="J181" s="75">
        <f>I181*H181</f>
        <v>3250.25</v>
      </c>
      <c r="K181" s="64">
        <f>J181*(1+($J$209/100))</f>
        <v>4062.8125</v>
      </c>
      <c r="L181" s="65">
        <f>IF(J181=0,0,100*J181/$J$117)</f>
        <v>29.88122043647295</v>
      </c>
      <c r="M181" s="145"/>
      <c r="N181" s="51"/>
    </row>
    <row r="182" spans="2:14" s="37" customFormat="1" ht="36" customHeight="1">
      <c r="B182" s="40" t="s">
        <v>330</v>
      </c>
      <c r="C182" s="40" t="s">
        <v>251</v>
      </c>
      <c r="D182" s="113" t="s">
        <v>342</v>
      </c>
      <c r="E182" s="113"/>
      <c r="F182" s="113"/>
      <c r="G182" s="39" t="s">
        <v>27</v>
      </c>
      <c r="H182" s="83">
        <v>1</v>
      </c>
      <c r="I182" s="84">
        <v>3350.2</v>
      </c>
      <c r="J182" s="75">
        <f>I182*H182</f>
        <v>3350.2</v>
      </c>
      <c r="K182" s="64">
        <f>J182*(1+($J$209/100))</f>
        <v>4187.75</v>
      </c>
      <c r="L182" s="65">
        <f>IF(J182=0,0,100*J182/$J$117)</f>
        <v>30.800112208682926</v>
      </c>
      <c r="M182" s="145"/>
      <c r="N182" s="51"/>
    </row>
    <row r="183" spans="2:14" s="37" customFormat="1" ht="36" customHeight="1">
      <c r="B183" s="46" t="s">
        <v>94</v>
      </c>
      <c r="C183" s="40" t="s">
        <v>270</v>
      </c>
      <c r="D183" s="113" t="s">
        <v>95</v>
      </c>
      <c r="E183" s="113"/>
      <c r="F183" s="113"/>
      <c r="G183" s="39" t="s">
        <v>27</v>
      </c>
      <c r="H183" s="83">
        <v>1</v>
      </c>
      <c r="I183" s="84">
        <v>1542.58</v>
      </c>
      <c r="J183" s="75">
        <f>I183*H183</f>
        <v>1542.58</v>
      </c>
      <c r="K183" s="64">
        <f>J183*(1+($J$209/100))</f>
        <v>1928.225</v>
      </c>
      <c r="L183" s="65">
        <f>IF(J183=0,0,100*J183/$J$117)</f>
        <v>14.181731565539403</v>
      </c>
      <c r="M183" s="145"/>
      <c r="N183" s="51"/>
    </row>
    <row r="184" spans="2:14" s="37" customFormat="1" ht="15">
      <c r="B184" s="144" t="s">
        <v>11</v>
      </c>
      <c r="C184" s="144"/>
      <c r="D184" s="144"/>
      <c r="E184" s="144"/>
      <c r="F184" s="144"/>
      <c r="G184" s="144"/>
      <c r="H184" s="144"/>
      <c r="I184" s="144"/>
      <c r="J184" s="50">
        <f>SUM(J181:J183)</f>
        <v>8143.03</v>
      </c>
      <c r="K184" s="50">
        <f>SUM(K181:K183)</f>
        <v>10178.7875</v>
      </c>
      <c r="L184" s="66">
        <f>SUM(L181:L183)</f>
        <v>74.86306421069528</v>
      </c>
      <c r="M184" s="67">
        <f>IF($J$207=0,0,J184/$J$207)</f>
        <v>0.024274846694377294</v>
      </c>
      <c r="N184" s="51"/>
    </row>
    <row r="185" spans="2:14" s="37" customFormat="1" ht="15">
      <c r="B185" s="61"/>
      <c r="C185" s="61">
        <v>10</v>
      </c>
      <c r="D185" s="138" t="s">
        <v>319</v>
      </c>
      <c r="E185" s="138"/>
      <c r="F185" s="138"/>
      <c r="G185" s="138"/>
      <c r="H185" s="138"/>
      <c r="I185" s="138"/>
      <c r="J185" s="138"/>
      <c r="K185" s="138"/>
      <c r="L185" s="138"/>
      <c r="M185" s="138"/>
      <c r="N185" s="51"/>
    </row>
    <row r="186" spans="2:14" s="37" customFormat="1" ht="23.25" customHeight="1">
      <c r="B186" s="40">
        <v>7701</v>
      </c>
      <c r="C186" s="40" t="s">
        <v>272</v>
      </c>
      <c r="D186" s="113" t="s">
        <v>320</v>
      </c>
      <c r="E186" s="113"/>
      <c r="F186" s="113"/>
      <c r="G186" s="39" t="s">
        <v>26</v>
      </c>
      <c r="H186" s="83">
        <v>30</v>
      </c>
      <c r="I186" s="84">
        <v>58.89</v>
      </c>
      <c r="J186" s="75">
        <f aca="true" t="shared" si="26" ref="J186:J201">I186*H186</f>
        <v>1766.7</v>
      </c>
      <c r="K186" s="64">
        <f aca="true" t="shared" si="27" ref="K186:K201">J186*(1+($J$209/100))</f>
        <v>2208.375</v>
      </c>
      <c r="L186" s="65">
        <f aca="true" t="shared" si="28" ref="L186:L201">IF(J186=0,0,100*J186/$J$117)</f>
        <v>16.24218203064895</v>
      </c>
      <c r="M186" s="145"/>
      <c r="N186" s="51"/>
    </row>
    <row r="187" spans="2:14" s="37" customFormat="1" ht="36" customHeight="1">
      <c r="B187" s="40">
        <v>1778</v>
      </c>
      <c r="C187" s="40" t="s">
        <v>273</v>
      </c>
      <c r="D187" s="113" t="s">
        <v>322</v>
      </c>
      <c r="E187" s="113"/>
      <c r="F187" s="113"/>
      <c r="G187" s="39" t="s">
        <v>27</v>
      </c>
      <c r="H187" s="83">
        <v>2</v>
      </c>
      <c r="I187" s="84">
        <v>72.9</v>
      </c>
      <c r="J187" s="75">
        <f t="shared" si="26"/>
        <v>145.8</v>
      </c>
      <c r="K187" s="64">
        <f t="shared" si="27"/>
        <v>182.25</v>
      </c>
      <c r="L187" s="65">
        <f t="shared" si="28"/>
        <v>1.3404144110876877</v>
      </c>
      <c r="M187" s="145"/>
      <c r="N187" s="51"/>
    </row>
    <row r="188" spans="2:14" s="37" customFormat="1" ht="36" customHeight="1">
      <c r="B188" s="40">
        <v>1791</v>
      </c>
      <c r="C188" s="40" t="s">
        <v>372</v>
      </c>
      <c r="D188" s="113" t="s">
        <v>321</v>
      </c>
      <c r="E188" s="113"/>
      <c r="F188" s="113"/>
      <c r="G188" s="39" t="s">
        <v>27</v>
      </c>
      <c r="H188" s="83">
        <v>6</v>
      </c>
      <c r="I188" s="84">
        <v>93.48</v>
      </c>
      <c r="J188" s="75">
        <f t="shared" si="26"/>
        <v>560.88</v>
      </c>
      <c r="K188" s="64">
        <f t="shared" si="27"/>
        <v>701.1</v>
      </c>
      <c r="L188" s="65">
        <f t="shared" si="28"/>
        <v>5.156458401171894</v>
      </c>
      <c r="M188" s="145"/>
      <c r="N188" s="51"/>
    </row>
    <row r="189" spans="2:14" s="37" customFormat="1" ht="36" customHeight="1">
      <c r="B189" s="40">
        <v>6299</v>
      </c>
      <c r="C189" s="40" t="s">
        <v>373</v>
      </c>
      <c r="D189" s="113" t="s">
        <v>323</v>
      </c>
      <c r="E189" s="113"/>
      <c r="F189" s="113"/>
      <c r="G189" s="39" t="s">
        <v>27</v>
      </c>
      <c r="H189" s="83">
        <v>4</v>
      </c>
      <c r="I189" s="84">
        <v>59.05</v>
      </c>
      <c r="J189" s="75">
        <f t="shared" si="26"/>
        <v>236.2</v>
      </c>
      <c r="K189" s="64">
        <f t="shared" si="27"/>
        <v>295.25</v>
      </c>
      <c r="L189" s="65">
        <f t="shared" si="28"/>
        <v>2.171508120019971</v>
      </c>
      <c r="M189" s="145"/>
      <c r="N189" s="51"/>
    </row>
    <row r="190" spans="2:14" s="37" customFormat="1" ht="36" customHeight="1">
      <c r="B190" s="45">
        <v>764</v>
      </c>
      <c r="C190" s="40" t="s">
        <v>374</v>
      </c>
      <c r="D190" s="113" t="s">
        <v>324</v>
      </c>
      <c r="E190" s="113"/>
      <c r="F190" s="113"/>
      <c r="G190" s="39" t="s">
        <v>27</v>
      </c>
      <c r="H190" s="83">
        <v>2</v>
      </c>
      <c r="I190" s="84">
        <v>4.5</v>
      </c>
      <c r="J190" s="75">
        <f t="shared" si="26"/>
        <v>9</v>
      </c>
      <c r="K190" s="64">
        <f t="shared" si="27"/>
        <v>11.25</v>
      </c>
      <c r="L190" s="65">
        <f t="shared" si="28"/>
        <v>0.08274163031405478</v>
      </c>
      <c r="M190" s="145"/>
      <c r="N190" s="51"/>
    </row>
    <row r="191" spans="2:14" s="37" customFormat="1" ht="36" customHeight="1">
      <c r="B191" s="40">
        <v>72283</v>
      </c>
      <c r="C191" s="40" t="s">
        <v>375</v>
      </c>
      <c r="D191" s="114" t="s">
        <v>325</v>
      </c>
      <c r="E191" s="115"/>
      <c r="F191" s="116"/>
      <c r="G191" s="39" t="s">
        <v>27</v>
      </c>
      <c r="H191" s="83">
        <v>2</v>
      </c>
      <c r="I191" s="84">
        <v>577.16</v>
      </c>
      <c r="J191" s="75">
        <f t="shared" si="26"/>
        <v>1154.32</v>
      </c>
      <c r="K191" s="64">
        <f t="shared" si="27"/>
        <v>1442.8999999999999</v>
      </c>
      <c r="L191" s="65">
        <f t="shared" si="28"/>
        <v>10.61225763379108</v>
      </c>
      <c r="M191" s="145"/>
      <c r="N191" s="51"/>
    </row>
    <row r="192" spans="2:14" s="37" customFormat="1" ht="36" customHeight="1">
      <c r="B192" s="40">
        <v>83633</v>
      </c>
      <c r="C192" s="40" t="s">
        <v>376</v>
      </c>
      <c r="D192" s="114" t="s">
        <v>326</v>
      </c>
      <c r="E192" s="115"/>
      <c r="F192" s="116"/>
      <c r="G192" s="39" t="s">
        <v>27</v>
      </c>
      <c r="H192" s="83">
        <v>1</v>
      </c>
      <c r="I192" s="84">
        <v>3315.87</v>
      </c>
      <c r="J192" s="75">
        <f t="shared" si="26"/>
        <v>3315.87</v>
      </c>
      <c r="K192" s="64">
        <f t="shared" si="27"/>
        <v>4144.8375</v>
      </c>
      <c r="L192" s="65">
        <f t="shared" si="28"/>
        <v>30.484498856607203</v>
      </c>
      <c r="M192" s="145"/>
      <c r="N192" s="51"/>
    </row>
    <row r="193" spans="2:14" s="37" customFormat="1" ht="36" customHeight="1">
      <c r="B193" s="40" t="s">
        <v>327</v>
      </c>
      <c r="C193" s="40" t="s">
        <v>377</v>
      </c>
      <c r="D193" s="113" t="s">
        <v>328</v>
      </c>
      <c r="E193" s="113"/>
      <c r="F193" s="113"/>
      <c r="G193" s="39" t="s">
        <v>27</v>
      </c>
      <c r="H193" s="83">
        <v>4</v>
      </c>
      <c r="I193" s="84">
        <v>103.18</v>
      </c>
      <c r="J193" s="75">
        <f t="shared" si="26"/>
        <v>412.72</v>
      </c>
      <c r="K193" s="64">
        <f t="shared" si="27"/>
        <v>515.9000000000001</v>
      </c>
      <c r="L193" s="65">
        <f t="shared" si="28"/>
        <v>3.7943472959129654</v>
      </c>
      <c r="M193" s="145"/>
      <c r="N193" s="51"/>
    </row>
    <row r="194" spans="2:14" s="37" customFormat="1" ht="36" customHeight="1">
      <c r="B194" s="40" t="s">
        <v>330</v>
      </c>
      <c r="C194" s="40" t="s">
        <v>378</v>
      </c>
      <c r="D194" s="113" t="s">
        <v>331</v>
      </c>
      <c r="E194" s="113"/>
      <c r="F194" s="113"/>
      <c r="G194" s="39" t="s">
        <v>27</v>
      </c>
      <c r="H194" s="83">
        <v>2</v>
      </c>
      <c r="I194" s="84">
        <v>250</v>
      </c>
      <c r="J194" s="75">
        <f t="shared" si="26"/>
        <v>500</v>
      </c>
      <c r="K194" s="64">
        <f t="shared" si="27"/>
        <v>625</v>
      </c>
      <c r="L194" s="65">
        <f t="shared" si="28"/>
        <v>4.59675723966971</v>
      </c>
      <c r="M194" s="145"/>
      <c r="N194" s="51"/>
    </row>
    <row r="195" spans="2:14" s="37" customFormat="1" ht="36" customHeight="1">
      <c r="B195" s="40" t="s">
        <v>330</v>
      </c>
      <c r="C195" s="40" t="s">
        <v>379</v>
      </c>
      <c r="D195" s="113" t="s">
        <v>332</v>
      </c>
      <c r="E195" s="113"/>
      <c r="F195" s="113"/>
      <c r="G195" s="39" t="s">
        <v>27</v>
      </c>
      <c r="H195" s="83">
        <v>1</v>
      </c>
      <c r="I195" s="84">
        <v>65.2</v>
      </c>
      <c r="J195" s="75">
        <f t="shared" si="26"/>
        <v>65.2</v>
      </c>
      <c r="K195" s="64">
        <f t="shared" si="27"/>
        <v>81.5</v>
      </c>
      <c r="L195" s="65">
        <f t="shared" si="28"/>
        <v>0.5994171440529302</v>
      </c>
      <c r="M195" s="145"/>
      <c r="N195" s="51"/>
    </row>
    <row r="196" spans="2:14" s="37" customFormat="1" ht="36" customHeight="1">
      <c r="B196" s="40" t="s">
        <v>330</v>
      </c>
      <c r="C196" s="40" t="s">
        <v>380</v>
      </c>
      <c r="D196" s="113" t="s">
        <v>333</v>
      </c>
      <c r="E196" s="113"/>
      <c r="F196" s="113"/>
      <c r="G196" s="39" t="s">
        <v>27</v>
      </c>
      <c r="H196" s="83">
        <v>5</v>
      </c>
      <c r="I196" s="84">
        <v>85.2</v>
      </c>
      <c r="J196" s="75">
        <f t="shared" si="26"/>
        <v>426</v>
      </c>
      <c r="K196" s="64">
        <f t="shared" si="27"/>
        <v>532.5</v>
      </c>
      <c r="L196" s="65">
        <f t="shared" si="28"/>
        <v>3.916437168198593</v>
      </c>
      <c r="M196" s="145"/>
      <c r="N196" s="51"/>
    </row>
    <row r="197" spans="2:14" s="37" customFormat="1" ht="36" customHeight="1">
      <c r="B197" s="40" t="s">
        <v>330</v>
      </c>
      <c r="C197" s="40" t="s">
        <v>381</v>
      </c>
      <c r="D197" s="113" t="s">
        <v>343</v>
      </c>
      <c r="E197" s="113"/>
      <c r="F197" s="113"/>
      <c r="G197" s="39" t="s">
        <v>27</v>
      </c>
      <c r="H197" s="83">
        <v>1</v>
      </c>
      <c r="I197" s="84">
        <v>850</v>
      </c>
      <c r="J197" s="75">
        <f t="shared" si="26"/>
        <v>850</v>
      </c>
      <c r="K197" s="64">
        <f t="shared" si="27"/>
        <v>1062.5</v>
      </c>
      <c r="L197" s="65">
        <f t="shared" si="28"/>
        <v>7.814487307438507</v>
      </c>
      <c r="M197" s="145"/>
      <c r="N197" s="51"/>
    </row>
    <row r="198" spans="2:14" s="37" customFormat="1" ht="36" customHeight="1">
      <c r="B198" s="40" t="s">
        <v>330</v>
      </c>
      <c r="C198" s="40" t="s">
        <v>382</v>
      </c>
      <c r="D198" s="113" t="s">
        <v>344</v>
      </c>
      <c r="E198" s="113"/>
      <c r="F198" s="113"/>
      <c r="G198" s="39" t="s">
        <v>27</v>
      </c>
      <c r="H198" s="83">
        <v>170</v>
      </c>
      <c r="I198" s="84">
        <v>12.5</v>
      </c>
      <c r="J198" s="75">
        <f t="shared" si="26"/>
        <v>2125</v>
      </c>
      <c r="K198" s="64">
        <f t="shared" si="27"/>
        <v>2656.25</v>
      </c>
      <c r="L198" s="65">
        <f t="shared" si="28"/>
        <v>19.53621826859627</v>
      </c>
      <c r="M198" s="145"/>
      <c r="N198" s="51"/>
    </row>
    <row r="199" spans="2:14" s="37" customFormat="1" ht="36" customHeight="1">
      <c r="B199" s="40" t="s">
        <v>330</v>
      </c>
      <c r="C199" s="40" t="s">
        <v>383</v>
      </c>
      <c r="D199" s="113" t="s">
        <v>345</v>
      </c>
      <c r="E199" s="113"/>
      <c r="F199" s="113"/>
      <c r="G199" s="39" t="s">
        <v>27</v>
      </c>
      <c r="H199" s="83">
        <v>60</v>
      </c>
      <c r="I199" s="84">
        <v>8.6</v>
      </c>
      <c r="J199" s="75">
        <f t="shared" si="26"/>
        <v>516</v>
      </c>
      <c r="K199" s="64">
        <f t="shared" si="27"/>
        <v>645</v>
      </c>
      <c r="L199" s="65">
        <f t="shared" si="28"/>
        <v>4.743853471339141</v>
      </c>
      <c r="M199" s="145"/>
      <c r="N199" s="51"/>
    </row>
    <row r="200" spans="2:14" s="37" customFormat="1" ht="36" customHeight="1">
      <c r="B200" s="40">
        <v>68070</v>
      </c>
      <c r="C200" s="40" t="s">
        <v>384</v>
      </c>
      <c r="D200" s="113" t="s">
        <v>346</v>
      </c>
      <c r="E200" s="113"/>
      <c r="F200" s="113"/>
      <c r="G200" s="39" t="s">
        <v>27</v>
      </c>
      <c r="H200" s="83">
        <v>50</v>
      </c>
      <c r="I200" s="84">
        <v>45.96</v>
      </c>
      <c r="J200" s="75">
        <f t="shared" si="26"/>
        <v>2298</v>
      </c>
      <c r="K200" s="64">
        <f t="shared" si="27"/>
        <v>2872.5</v>
      </c>
      <c r="L200" s="65">
        <f t="shared" si="28"/>
        <v>21.126696273521986</v>
      </c>
      <c r="M200" s="145"/>
      <c r="N200" s="51"/>
    </row>
    <row r="201" spans="2:14" s="37" customFormat="1" ht="36" customHeight="1">
      <c r="B201" s="40" t="s">
        <v>330</v>
      </c>
      <c r="C201" s="40" t="s">
        <v>385</v>
      </c>
      <c r="D201" s="113" t="s">
        <v>352</v>
      </c>
      <c r="E201" s="113"/>
      <c r="F201" s="113"/>
      <c r="G201" s="39" t="s">
        <v>27</v>
      </c>
      <c r="H201" s="83">
        <v>1</v>
      </c>
      <c r="I201" s="84">
        <v>350</v>
      </c>
      <c r="J201" s="75">
        <f t="shared" si="26"/>
        <v>350</v>
      </c>
      <c r="K201" s="64">
        <f t="shared" si="27"/>
        <v>437.5</v>
      </c>
      <c r="L201" s="65">
        <f t="shared" si="28"/>
        <v>3.2177300677687968</v>
      </c>
      <c r="M201" s="145"/>
      <c r="N201" s="51"/>
    </row>
    <row r="202" spans="2:14" s="37" customFormat="1" ht="15">
      <c r="B202" s="144" t="s">
        <v>11</v>
      </c>
      <c r="C202" s="144"/>
      <c r="D202" s="144"/>
      <c r="E202" s="144"/>
      <c r="F202" s="144"/>
      <c r="G202" s="144"/>
      <c r="H202" s="144"/>
      <c r="I202" s="144"/>
      <c r="J202" s="50">
        <f>SUM(J186:J201)</f>
        <v>14731.689999999999</v>
      </c>
      <c r="K202" s="50">
        <f>SUM(K186:K201)</f>
        <v>18414.6125</v>
      </c>
      <c r="L202" s="66">
        <f>SUM(L186:L201)</f>
        <v>135.43600532013977</v>
      </c>
      <c r="M202" s="67">
        <f>IF($J$207=0,0,J202/$J$207)</f>
        <v>0.04391602588951423</v>
      </c>
      <c r="N202" s="51"/>
    </row>
    <row r="203" spans="2:14" ht="15">
      <c r="B203" s="61"/>
      <c r="C203" s="61">
        <v>11</v>
      </c>
      <c r="D203" s="167" t="s">
        <v>12</v>
      </c>
      <c r="E203" s="168"/>
      <c r="F203" s="168"/>
      <c r="G203" s="168"/>
      <c r="H203" s="168"/>
      <c r="I203" s="168"/>
      <c r="J203" s="168"/>
      <c r="K203" s="168"/>
      <c r="L203" s="168"/>
      <c r="M203" s="169"/>
      <c r="N203" s="51"/>
    </row>
    <row r="204" spans="2:14" ht="15" customHeight="1">
      <c r="B204" s="40">
        <v>9537</v>
      </c>
      <c r="C204" s="40" t="s">
        <v>274</v>
      </c>
      <c r="D204" s="114" t="s">
        <v>109</v>
      </c>
      <c r="E204" s="115"/>
      <c r="F204" s="116"/>
      <c r="G204" s="39" t="s">
        <v>21</v>
      </c>
      <c r="H204" s="62">
        <v>1100</v>
      </c>
      <c r="I204" s="84">
        <v>1.88</v>
      </c>
      <c r="J204" s="75">
        <f>I204*H204</f>
        <v>2068</v>
      </c>
      <c r="K204" s="64">
        <f>J204*(1+($J$209/100))</f>
        <v>2585</v>
      </c>
      <c r="L204" s="65">
        <f>IF(J204=0,0,100*J204/$J$205)</f>
        <v>100</v>
      </c>
      <c r="M204" s="89"/>
      <c r="N204" s="51"/>
    </row>
    <row r="205" spans="2:14" ht="15.75" customHeight="1">
      <c r="B205" s="163" t="s">
        <v>11</v>
      </c>
      <c r="C205" s="164"/>
      <c r="D205" s="164"/>
      <c r="E205" s="164"/>
      <c r="F205" s="164"/>
      <c r="G205" s="164"/>
      <c r="H205" s="164"/>
      <c r="I205" s="165"/>
      <c r="J205" s="50">
        <f>SUM(J204:J204)</f>
        <v>2068</v>
      </c>
      <c r="K205" s="50">
        <f>SUM(K204:K204)</f>
        <v>2585</v>
      </c>
      <c r="L205" s="66">
        <f>SUM(L204:L204)</f>
        <v>100</v>
      </c>
      <c r="M205" s="67">
        <f>IF($J$207=0,0,J205/$J$207)</f>
        <v>0.006164828443954185</v>
      </c>
      <c r="N205" s="51"/>
    </row>
    <row r="206" spans="2:14" ht="15.75" thickBot="1"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51"/>
    </row>
    <row r="207" spans="2:14" ht="15.75" thickBot="1">
      <c r="B207" s="157" t="s">
        <v>13</v>
      </c>
      <c r="C207" s="158"/>
      <c r="D207" s="158"/>
      <c r="E207" s="158"/>
      <c r="F207" s="158"/>
      <c r="G207" s="158"/>
      <c r="H207" s="158"/>
      <c r="I207" s="159"/>
      <c r="J207" s="90">
        <f>SUM(J19,J50,J81,J90,J95,J110,J117,J179,J205)</f>
        <v>335451.3461</v>
      </c>
      <c r="K207" s="90">
        <f>SUM(K205+K202+K184+K179+K117+K110+K95+K90+K81+K50+K19)</f>
        <v>489580.01637500006</v>
      </c>
      <c r="L207" s="91"/>
      <c r="M207" s="92">
        <f>IF($J$207=0,0,J207/$J$207)</f>
        <v>1</v>
      </c>
      <c r="N207" s="51"/>
    </row>
    <row r="208" spans="2:14" ht="15.75" thickBot="1"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51"/>
    </row>
    <row r="209" spans="2:14" ht="15.75" thickBot="1">
      <c r="B209" s="157" t="s">
        <v>14</v>
      </c>
      <c r="C209" s="158"/>
      <c r="D209" s="158"/>
      <c r="E209" s="158"/>
      <c r="F209" s="158"/>
      <c r="G209" s="158"/>
      <c r="H209" s="158"/>
      <c r="I209" s="159"/>
      <c r="J209" s="90">
        <v>25</v>
      </c>
      <c r="K209" s="93"/>
      <c r="L209" s="51"/>
      <c r="M209" s="51"/>
      <c r="N209" s="51"/>
    </row>
    <row r="210" spans="2:14" ht="15"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51"/>
    </row>
    <row r="211" spans="2:14" s="37" customFormat="1" ht="48" customHeight="1"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51"/>
    </row>
    <row r="212" spans="2:14" ht="15"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51"/>
    </row>
    <row r="213" spans="2:14" ht="24.75" customHeight="1">
      <c r="B213" s="106">
        <v>41946</v>
      </c>
      <c r="C213" s="94"/>
      <c r="D213" s="107" t="s">
        <v>394</v>
      </c>
      <c r="E213" s="107"/>
      <c r="F213" s="109" t="s">
        <v>394</v>
      </c>
      <c r="G213" s="109"/>
      <c r="H213" s="109"/>
      <c r="I213" s="109"/>
      <c r="J213" s="107" t="s">
        <v>409</v>
      </c>
      <c r="K213" s="107"/>
      <c r="L213" s="107"/>
      <c r="M213" s="107"/>
      <c r="N213" s="51"/>
    </row>
    <row r="214" spans="2:14" ht="15" customHeight="1">
      <c r="B214" s="101" t="s">
        <v>15</v>
      </c>
      <c r="C214" s="95"/>
      <c r="D214" s="108" t="s">
        <v>279</v>
      </c>
      <c r="E214" s="108"/>
      <c r="F214" s="108" t="s">
        <v>403</v>
      </c>
      <c r="G214" s="108"/>
      <c r="H214" s="108"/>
      <c r="I214" s="108"/>
      <c r="J214" s="108" t="s">
        <v>407</v>
      </c>
      <c r="K214" s="108"/>
      <c r="L214" s="108"/>
      <c r="M214" s="108"/>
      <c r="N214" s="51"/>
    </row>
    <row r="215" spans="2:14" ht="15" customHeight="1">
      <c r="B215" s="51"/>
      <c r="C215" s="51"/>
      <c r="D215" s="108" t="s">
        <v>355</v>
      </c>
      <c r="E215" s="108"/>
      <c r="F215" s="108" t="s">
        <v>406</v>
      </c>
      <c r="G215" s="108"/>
      <c r="H215" s="108"/>
      <c r="I215" s="108"/>
      <c r="J215" s="108" t="s">
        <v>408</v>
      </c>
      <c r="K215" s="108"/>
      <c r="L215" s="108"/>
      <c r="M215" s="108"/>
      <c r="N215" s="51"/>
    </row>
    <row r="216" spans="2:14" ht="15">
      <c r="B216" s="51"/>
      <c r="C216" s="51"/>
      <c r="D216" s="51"/>
      <c r="E216" s="97"/>
      <c r="F216" s="98"/>
      <c r="G216" s="99"/>
      <c r="H216" s="100"/>
      <c r="I216" s="96"/>
      <c r="J216" s="51"/>
      <c r="K216" s="51"/>
      <c r="L216" s="51"/>
      <c r="M216" s="51"/>
      <c r="N216" s="51"/>
    </row>
    <row r="217" spans="2:14" ht="15">
      <c r="B217" s="51"/>
      <c r="C217" s="51"/>
      <c r="D217" s="51"/>
      <c r="E217" s="97"/>
      <c r="F217" s="98"/>
      <c r="G217" s="99"/>
      <c r="H217" s="100"/>
      <c r="I217" s="96"/>
      <c r="J217" s="51"/>
      <c r="K217" s="51"/>
      <c r="L217" s="51"/>
      <c r="M217" s="51"/>
      <c r="N217" s="51"/>
    </row>
    <row r="218" spans="5:11" ht="15">
      <c r="E218" s="11"/>
      <c r="F218" s="9"/>
      <c r="G218" s="36"/>
      <c r="J218" s="13"/>
      <c r="K218" s="13"/>
    </row>
    <row r="219" spans="5:7" ht="15">
      <c r="E219" s="11"/>
      <c r="F219" s="9"/>
      <c r="G219" s="36"/>
    </row>
  </sheetData>
  <sheetProtection/>
  <mergeCells count="235">
    <mergeCell ref="J215:M215"/>
    <mergeCell ref="D35:F35"/>
    <mergeCell ref="D36:F36"/>
    <mergeCell ref="D149:F149"/>
    <mergeCell ref="D145:F145"/>
    <mergeCell ref="D148:F148"/>
    <mergeCell ref="D97:F97"/>
    <mergeCell ref="B95:I95"/>
    <mergeCell ref="B110:I110"/>
    <mergeCell ref="D51:M51"/>
    <mergeCell ref="M119:M178"/>
    <mergeCell ref="M52:M63"/>
    <mergeCell ref="D152:F152"/>
    <mergeCell ref="D120:F120"/>
    <mergeCell ref="D121:F121"/>
    <mergeCell ref="D122:F122"/>
    <mergeCell ref="D135:F135"/>
    <mergeCell ref="D140:F140"/>
    <mergeCell ref="D136:F136"/>
    <mergeCell ref="D124:F124"/>
    <mergeCell ref="D100:F100"/>
    <mergeCell ref="D141:F141"/>
    <mergeCell ref="D151:F151"/>
    <mergeCell ref="D111:M111"/>
    <mergeCell ref="D131:F131"/>
    <mergeCell ref="D128:F128"/>
    <mergeCell ref="D130:F130"/>
    <mergeCell ref="D144:F144"/>
    <mergeCell ref="B212:M212"/>
    <mergeCell ref="D147:F147"/>
    <mergeCell ref="D154:F154"/>
    <mergeCell ref="D171:F171"/>
    <mergeCell ref="D173:F173"/>
    <mergeCell ref="D132:F132"/>
    <mergeCell ref="D133:F133"/>
    <mergeCell ref="D112:F112"/>
    <mergeCell ref="M112:M116"/>
    <mergeCell ref="D113:F113"/>
    <mergeCell ref="D115:F115"/>
    <mergeCell ref="D143:F143"/>
    <mergeCell ref="D146:F146"/>
    <mergeCell ref="D139:F139"/>
    <mergeCell ref="D123:F123"/>
    <mergeCell ref="D134:F134"/>
    <mergeCell ref="D126:F126"/>
    <mergeCell ref="D22:F22"/>
    <mergeCell ref="D24:F24"/>
    <mergeCell ref="D33:F33"/>
    <mergeCell ref="D32:F32"/>
    <mergeCell ref="M21:M42"/>
    <mergeCell ref="D21:I21"/>
    <mergeCell ref="D41:F41"/>
    <mergeCell ref="D42:F42"/>
    <mergeCell ref="D34:F34"/>
    <mergeCell ref="D40:F40"/>
    <mergeCell ref="D15:M15"/>
    <mergeCell ref="D16:F16"/>
    <mergeCell ref="B19:I19"/>
    <mergeCell ref="B13:M13"/>
    <mergeCell ref="D18:F18"/>
    <mergeCell ref="M16:M18"/>
    <mergeCell ref="D17:F17"/>
    <mergeCell ref="D30:F30"/>
    <mergeCell ref="D27:F27"/>
    <mergeCell ref="B81:I81"/>
    <mergeCell ref="D54:F54"/>
    <mergeCell ref="D53:F53"/>
    <mergeCell ref="D56:F56"/>
    <mergeCell ref="D55:F55"/>
    <mergeCell ref="D62:F62"/>
    <mergeCell ref="D63:F63"/>
    <mergeCell ref="D61:F61"/>
    <mergeCell ref="D60:F60"/>
    <mergeCell ref="D58:F58"/>
    <mergeCell ref="D83:F83"/>
    <mergeCell ref="M83:M84"/>
    <mergeCell ref="D84:F84"/>
    <mergeCell ref="D82:M82"/>
    <mergeCell ref="D85:F85"/>
    <mergeCell ref="D86:F86"/>
    <mergeCell ref="M85:M89"/>
    <mergeCell ref="D89:F89"/>
    <mergeCell ref="D96:M96"/>
    <mergeCell ref="B90:I90"/>
    <mergeCell ref="D92:F92"/>
    <mergeCell ref="D93:F93"/>
    <mergeCell ref="D94:F94"/>
    <mergeCell ref="D109:F109"/>
    <mergeCell ref="D101:F101"/>
    <mergeCell ref="M98:M102"/>
    <mergeCell ref="D102:F102"/>
    <mergeCell ref="D103:F103"/>
    <mergeCell ref="D104:F104"/>
    <mergeCell ref="D105:F105"/>
    <mergeCell ref="D106:F106"/>
    <mergeCell ref="M103:M109"/>
    <mergeCell ref="D138:F138"/>
    <mergeCell ref="D116:F116"/>
    <mergeCell ref="D137:F137"/>
    <mergeCell ref="D127:F127"/>
    <mergeCell ref="B117:I117"/>
    <mergeCell ref="D119:F119"/>
    <mergeCell ref="D176:F176"/>
    <mergeCell ref="D178:F178"/>
    <mergeCell ref="D164:F164"/>
    <mergeCell ref="D168:F168"/>
    <mergeCell ref="D165:F165"/>
    <mergeCell ref="D170:F170"/>
    <mergeCell ref="D166:F166"/>
    <mergeCell ref="D167:F167"/>
    <mergeCell ref="D172:F172"/>
    <mergeCell ref="B210:M210"/>
    <mergeCell ref="B205:I205"/>
    <mergeCell ref="B208:M208"/>
    <mergeCell ref="D156:F156"/>
    <mergeCell ref="D174:F174"/>
    <mergeCell ref="D175:F175"/>
    <mergeCell ref="D169:F169"/>
    <mergeCell ref="D204:F204"/>
    <mergeCell ref="D203:M203"/>
    <mergeCell ref="D177:F177"/>
    <mergeCell ref="D162:F162"/>
    <mergeCell ref="D142:F142"/>
    <mergeCell ref="D150:F150"/>
    <mergeCell ref="D155:F155"/>
    <mergeCell ref="D163:F163"/>
    <mergeCell ref="D159:F159"/>
    <mergeCell ref="B184:I184"/>
    <mergeCell ref="D153:F153"/>
    <mergeCell ref="D157:F157"/>
    <mergeCell ref="D158:F158"/>
    <mergeCell ref="B209:I209"/>
    <mergeCell ref="B207:I207"/>
    <mergeCell ref="B206:M206"/>
    <mergeCell ref="B179:I179"/>
    <mergeCell ref="D160:F160"/>
    <mergeCell ref="D161:F161"/>
    <mergeCell ref="B202:I202"/>
    <mergeCell ref="D190:F190"/>
    <mergeCell ref="D189:F189"/>
    <mergeCell ref="D188:F188"/>
    <mergeCell ref="D180:M180"/>
    <mergeCell ref="D181:F181"/>
    <mergeCell ref="M181:M183"/>
    <mergeCell ref="D182:F182"/>
    <mergeCell ref="D196:F196"/>
    <mergeCell ref="D197:F197"/>
    <mergeCell ref="D199:F199"/>
    <mergeCell ref="D200:F200"/>
    <mergeCell ref="D201:F201"/>
    <mergeCell ref="B3:M5"/>
    <mergeCell ref="D186:F186"/>
    <mergeCell ref="D187:F187"/>
    <mergeCell ref="D192:F192"/>
    <mergeCell ref="D193:F193"/>
    <mergeCell ref="D185:M185"/>
    <mergeCell ref="D183:F183"/>
    <mergeCell ref="M186:M201"/>
    <mergeCell ref="D191:F191"/>
    <mergeCell ref="D194:F194"/>
    <mergeCell ref="D195:F195"/>
    <mergeCell ref="B7:G7"/>
    <mergeCell ref="B9:M9"/>
    <mergeCell ref="D99:F99"/>
    <mergeCell ref="D91:M91"/>
    <mergeCell ref="M92:M94"/>
    <mergeCell ref="D198:F198"/>
    <mergeCell ref="B6:G6"/>
    <mergeCell ref="D8:G8"/>
    <mergeCell ref="H8:I8"/>
    <mergeCell ref="B50:I50"/>
    <mergeCell ref="D114:F114"/>
    <mergeCell ref="D129:F129"/>
    <mergeCell ref="D88:F88"/>
    <mergeCell ref="D125:F125"/>
    <mergeCell ref="D87:F87"/>
    <mergeCell ref="D118:M118"/>
    <mergeCell ref="H10:I10"/>
    <mergeCell ref="D39:F39"/>
    <mergeCell ref="D38:F38"/>
    <mergeCell ref="H12:I12"/>
    <mergeCell ref="D37:F37"/>
    <mergeCell ref="J12:M12"/>
    <mergeCell ref="D12:G12"/>
    <mergeCell ref="D14:F14"/>
    <mergeCell ref="D20:M20"/>
    <mergeCell ref="D31:F31"/>
    <mergeCell ref="D59:F59"/>
    <mergeCell ref="D26:F26"/>
    <mergeCell ref="D107:F107"/>
    <mergeCell ref="D108:F108"/>
    <mergeCell ref="D10:G10"/>
    <mergeCell ref="B11:M11"/>
    <mergeCell ref="D98:F98"/>
    <mergeCell ref="D52:I52"/>
    <mergeCell ref="D57:I57"/>
    <mergeCell ref="D25:F25"/>
    <mergeCell ref="D78:F78"/>
    <mergeCell ref="D79:F79"/>
    <mergeCell ref="D80:F80"/>
    <mergeCell ref="M64:M75"/>
    <mergeCell ref="D72:F72"/>
    <mergeCell ref="D73:F73"/>
    <mergeCell ref="D74:F74"/>
    <mergeCell ref="D75:F75"/>
    <mergeCell ref="D28:F28"/>
    <mergeCell ref="D29:F29"/>
    <mergeCell ref="D23:F23"/>
    <mergeCell ref="D43:F43"/>
    <mergeCell ref="D44:F44"/>
    <mergeCell ref="D77:F77"/>
    <mergeCell ref="D68:F68"/>
    <mergeCell ref="D69:I69"/>
    <mergeCell ref="D70:F70"/>
    <mergeCell ref="D71:F71"/>
    <mergeCell ref="D215:E215"/>
    <mergeCell ref="F214:I214"/>
    <mergeCell ref="F215:I215"/>
    <mergeCell ref="D45:F45"/>
    <mergeCell ref="D46:F46"/>
    <mergeCell ref="D47:F47"/>
    <mergeCell ref="D48:F48"/>
    <mergeCell ref="D49:F49"/>
    <mergeCell ref="D76:I76"/>
    <mergeCell ref="D64:I64"/>
    <mergeCell ref="J213:M213"/>
    <mergeCell ref="J214:M214"/>
    <mergeCell ref="F213:I213"/>
    <mergeCell ref="D213:E213"/>
    <mergeCell ref="J8:K8"/>
    <mergeCell ref="J10:K10"/>
    <mergeCell ref="D214:E214"/>
    <mergeCell ref="D65:F65"/>
    <mergeCell ref="D66:F66"/>
    <mergeCell ref="D67:F67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portrait" paperSize="9" scale="60" r:id="rId1"/>
  <rowBreaks count="4" manualBreakCount="4">
    <brk id="50" min="1" max="13" man="1"/>
    <brk id="90" min="1" max="13" man="1"/>
    <brk id="141" min="1" max="13" man="1"/>
    <brk id="19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W29"/>
  <sheetViews>
    <sheetView tabSelected="1" view="pageLayout" zoomScale="85" zoomScalePageLayoutView="85" workbookViewId="0" topLeftCell="A1">
      <selection activeCell="W17" sqref="W17"/>
    </sheetView>
  </sheetViews>
  <sheetFormatPr defaultColWidth="9.140625" defaultRowHeight="15"/>
  <cols>
    <col min="1" max="1" width="1.8515625" style="0" customWidth="1"/>
    <col min="2" max="2" width="5.8515625" style="0" customWidth="1"/>
    <col min="3" max="3" width="7.00390625" style="0" customWidth="1"/>
    <col min="4" max="4" width="15.140625" style="0" customWidth="1"/>
    <col min="5" max="5" width="35.7109375" style="0" customWidth="1"/>
    <col min="6" max="6" width="7.7109375" style="0" customWidth="1"/>
    <col min="7" max="7" width="6.7109375" style="0" customWidth="1"/>
    <col min="8" max="8" width="8.140625" style="0" bestFit="1" customWidth="1"/>
    <col min="9" max="9" width="6.7109375" style="0" customWidth="1"/>
    <col min="10" max="10" width="8.140625" style="0" bestFit="1" customWidth="1"/>
    <col min="11" max="11" width="6.7109375" style="0" customWidth="1"/>
    <col min="12" max="12" width="8.28125" style="0" bestFit="1" customWidth="1"/>
    <col min="13" max="13" width="6.7109375" style="0" customWidth="1"/>
    <col min="14" max="14" width="8.28125" style="0" bestFit="1" customWidth="1"/>
    <col min="15" max="15" width="6.7109375" style="0" customWidth="1"/>
    <col min="16" max="16" width="8.421875" style="0" bestFit="1" customWidth="1"/>
    <col min="17" max="17" width="6.7109375" style="0" customWidth="1"/>
    <col min="18" max="18" width="7.57421875" style="0" customWidth="1"/>
    <col min="19" max="19" width="6.7109375" style="0" customWidth="1"/>
    <col min="20" max="20" width="13.57421875" style="0" customWidth="1"/>
    <col min="21" max="21" width="10.28125" style="0" customWidth="1"/>
    <col min="22" max="22" width="2.7109375" style="0" customWidth="1"/>
    <col min="23" max="23" width="14.28125" style="0" bestFit="1" customWidth="1"/>
  </cols>
  <sheetData>
    <row r="1" ht="15.75" thickBot="1"/>
    <row r="2" spans="2:21" ht="27.75" customHeight="1">
      <c r="B2" s="193" t="s">
        <v>389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</row>
    <row r="3" spans="2:21" ht="15.75" customHeight="1"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8"/>
    </row>
    <row r="4" spans="2:21" ht="15.75">
      <c r="B4" s="210" t="s">
        <v>390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2"/>
      <c r="T4" s="199" t="s">
        <v>252</v>
      </c>
      <c r="U4" s="200"/>
    </row>
    <row r="5" spans="2:21" ht="15.75">
      <c r="B5" s="210" t="s">
        <v>391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01"/>
      <c r="U5" s="202"/>
    </row>
    <row r="6" spans="2:21" ht="15.75" customHeight="1">
      <c r="B6" s="214" t="s">
        <v>392</v>
      </c>
      <c r="C6" s="215"/>
      <c r="D6" s="215"/>
      <c r="E6" s="215"/>
      <c r="F6" s="215"/>
      <c r="G6" s="215"/>
      <c r="H6" s="215"/>
      <c r="I6" s="215"/>
      <c r="J6" s="18"/>
      <c r="K6" s="18"/>
      <c r="L6" s="18"/>
      <c r="M6" s="18"/>
      <c r="N6" s="18"/>
      <c r="O6" s="18"/>
      <c r="P6" s="18"/>
      <c r="Q6" s="18"/>
      <c r="R6" s="18"/>
      <c r="S6" s="18"/>
      <c r="T6" s="199" t="s">
        <v>387</v>
      </c>
      <c r="U6" s="200"/>
    </row>
    <row r="7" spans="2:21" ht="15.75">
      <c r="B7" s="203" t="s">
        <v>393</v>
      </c>
      <c r="C7" s="204"/>
      <c r="D7" s="204"/>
      <c r="E7" s="204"/>
      <c r="F7" s="204"/>
      <c r="G7" s="204"/>
      <c r="H7" s="204"/>
      <c r="I7" s="203" t="s">
        <v>388</v>
      </c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1"/>
      <c r="U7" s="202"/>
    </row>
    <row r="8" spans="2:21" ht="15">
      <c r="B8" s="213" t="s">
        <v>253</v>
      </c>
      <c r="C8" s="209" t="s">
        <v>254</v>
      </c>
      <c r="D8" s="209"/>
      <c r="E8" s="209"/>
      <c r="F8" s="187" t="s">
        <v>255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205" t="s">
        <v>256</v>
      </c>
      <c r="U8" s="206"/>
    </row>
    <row r="9" spans="2:21" ht="15">
      <c r="B9" s="213"/>
      <c r="C9" s="209"/>
      <c r="D9" s="209"/>
      <c r="E9" s="209"/>
      <c r="F9" s="207" t="s">
        <v>257</v>
      </c>
      <c r="G9" s="208"/>
      <c r="H9" s="207" t="s">
        <v>258</v>
      </c>
      <c r="I9" s="208"/>
      <c r="J9" s="207" t="s">
        <v>259</v>
      </c>
      <c r="K9" s="208"/>
      <c r="L9" s="207" t="s">
        <v>260</v>
      </c>
      <c r="M9" s="208"/>
      <c r="N9" s="207" t="s">
        <v>261</v>
      </c>
      <c r="O9" s="208"/>
      <c r="P9" s="207" t="s">
        <v>262</v>
      </c>
      <c r="Q9" s="208"/>
      <c r="R9" s="207" t="s">
        <v>263</v>
      </c>
      <c r="S9" s="208"/>
      <c r="T9" s="205"/>
      <c r="U9" s="206"/>
    </row>
    <row r="10" spans="2:21" ht="15">
      <c r="B10" s="213"/>
      <c r="C10" s="209"/>
      <c r="D10" s="209"/>
      <c r="E10" s="209"/>
      <c r="F10" s="19" t="s">
        <v>264</v>
      </c>
      <c r="G10" s="19" t="s">
        <v>265</v>
      </c>
      <c r="H10" s="19" t="s">
        <v>264</v>
      </c>
      <c r="I10" s="19" t="s">
        <v>265</v>
      </c>
      <c r="J10" s="19" t="s">
        <v>264</v>
      </c>
      <c r="K10" s="19" t="s">
        <v>265</v>
      </c>
      <c r="L10" s="19" t="s">
        <v>264</v>
      </c>
      <c r="M10" s="19" t="s">
        <v>265</v>
      </c>
      <c r="N10" s="19" t="s">
        <v>264</v>
      </c>
      <c r="O10" s="19" t="s">
        <v>265</v>
      </c>
      <c r="P10" s="19" t="s">
        <v>264</v>
      </c>
      <c r="Q10" s="19" t="s">
        <v>265</v>
      </c>
      <c r="R10" s="19" t="s">
        <v>264</v>
      </c>
      <c r="S10" s="19" t="s">
        <v>265</v>
      </c>
      <c r="T10" s="19" t="s">
        <v>264</v>
      </c>
      <c r="U10" s="20" t="s">
        <v>265</v>
      </c>
    </row>
    <row r="11" spans="2:23" ht="15">
      <c r="B11" s="21">
        <v>1</v>
      </c>
      <c r="C11" s="184" t="str">
        <f>Orçamento!D15</f>
        <v>SERVIÇOS PRELIMINARES E GERAIS </v>
      </c>
      <c r="D11" s="185"/>
      <c r="E11" s="185"/>
      <c r="F11" s="22">
        <f>Orçamento!K19</f>
        <v>4866.00625</v>
      </c>
      <c r="G11" s="23">
        <v>1</v>
      </c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4">
        <f>F11+H11+J11+L11+R11+N11+P11</f>
        <v>4866.00625</v>
      </c>
      <c r="U11" s="25">
        <f>G11+I11+K11+M11+S11+O11+Q11</f>
        <v>1</v>
      </c>
      <c r="W11" s="35"/>
    </row>
    <row r="12" spans="2:23" ht="15">
      <c r="B12" s="21">
        <v>2</v>
      </c>
      <c r="C12" s="184" t="str">
        <f>Orçamento!D20</f>
        <v>INFRAESTRUTURA </v>
      </c>
      <c r="D12" s="185"/>
      <c r="E12" s="185"/>
      <c r="F12" s="22">
        <f>G12*Orçamento!K50</f>
        <v>79950.087175</v>
      </c>
      <c r="G12" s="23">
        <v>0.7</v>
      </c>
      <c r="H12" s="22">
        <f>I12*Orçamento!K50</f>
        <v>34264.323075</v>
      </c>
      <c r="I12" s="23">
        <v>0.3</v>
      </c>
      <c r="J12" s="22"/>
      <c r="K12" s="23"/>
      <c r="L12" s="22"/>
      <c r="M12" s="23"/>
      <c r="N12" s="22"/>
      <c r="O12" s="23"/>
      <c r="P12" s="22"/>
      <c r="Q12" s="23"/>
      <c r="R12" s="22"/>
      <c r="S12" s="23"/>
      <c r="T12" s="24">
        <f>F12+H12+J12+L12+R12+N12+P12</f>
        <v>114214.41024999999</v>
      </c>
      <c r="U12" s="25">
        <f aca="true" t="shared" si="0" ref="U12:U19">G12+I12+K12+M12+S12+O12+Q12</f>
        <v>1</v>
      </c>
      <c r="W12" s="35"/>
    </row>
    <row r="13" spans="2:23" ht="15">
      <c r="B13" s="21">
        <v>3</v>
      </c>
      <c r="C13" s="184" t="str">
        <f>Orçamento!D51</f>
        <v>SUPRA ESTRUTURA</v>
      </c>
      <c r="D13" s="185"/>
      <c r="E13" s="185"/>
      <c r="F13" s="22"/>
      <c r="G13" s="23"/>
      <c r="H13" s="22">
        <f>I13*Orçamento!K81</f>
        <v>72243.04620000003</v>
      </c>
      <c r="I13" s="23">
        <v>0.8</v>
      </c>
      <c r="J13" s="22">
        <f>K13*Orçamento!K81</f>
        <v>18060.761550000007</v>
      </c>
      <c r="K13" s="23">
        <v>0.2</v>
      </c>
      <c r="L13" s="22"/>
      <c r="M13" s="23"/>
      <c r="N13" s="22"/>
      <c r="O13" s="23"/>
      <c r="P13" s="22"/>
      <c r="Q13" s="23"/>
      <c r="R13" s="22"/>
      <c r="S13" s="23"/>
      <c r="T13" s="24">
        <f>F13+H13+J13+L13+R13+N13+P13</f>
        <v>90303.80775000004</v>
      </c>
      <c r="U13" s="25">
        <f t="shared" si="0"/>
        <v>1</v>
      </c>
      <c r="W13" s="35"/>
    </row>
    <row r="14" spans="2:23" ht="15">
      <c r="B14" s="21">
        <v>4</v>
      </c>
      <c r="C14" s="184" t="str">
        <f>Orçamento!D82</f>
        <v>PAREDES E ABERTURAS</v>
      </c>
      <c r="D14" s="185"/>
      <c r="E14" s="185"/>
      <c r="F14" s="22"/>
      <c r="G14" s="23"/>
      <c r="H14" s="22"/>
      <c r="I14" s="23"/>
      <c r="J14" s="22">
        <f>K14*Orçamento!K90</f>
        <v>72945.10350000001</v>
      </c>
      <c r="K14" s="23">
        <v>0.9</v>
      </c>
      <c r="L14" s="22">
        <f>M14*Orçamento!K90</f>
        <v>8105.0115000000005</v>
      </c>
      <c r="M14" s="23">
        <v>0.1</v>
      </c>
      <c r="N14" s="22"/>
      <c r="O14" s="23"/>
      <c r="P14" s="22"/>
      <c r="Q14" s="23"/>
      <c r="R14" s="22"/>
      <c r="S14" s="23"/>
      <c r="T14" s="24">
        <f aca="true" t="shared" si="1" ref="T14:T19">F14+H14+J14+L14+R14+N14+P14</f>
        <v>81050.11500000002</v>
      </c>
      <c r="U14" s="25">
        <f t="shared" si="0"/>
        <v>1</v>
      </c>
      <c r="W14" s="35"/>
    </row>
    <row r="15" spans="2:23" ht="15">
      <c r="B15" s="21">
        <v>5</v>
      </c>
      <c r="C15" s="184" t="str">
        <f>Orçamento!D91</f>
        <v>COBERTURAS GALPÃO PRÉ MOLDADO</v>
      </c>
      <c r="D15" s="185"/>
      <c r="E15" s="185"/>
      <c r="F15" s="22"/>
      <c r="G15" s="23"/>
      <c r="H15" s="22">
        <f>I15*Orçamento!K95</f>
        <v>7561.9800000000005</v>
      </c>
      <c r="I15" s="23">
        <v>0.1</v>
      </c>
      <c r="J15" s="22">
        <f>K15*Orçamento!K95</f>
        <v>37809.9</v>
      </c>
      <c r="K15" s="23">
        <v>0.5</v>
      </c>
      <c r="L15" s="22">
        <f>M15*Orçamento!K95</f>
        <v>30247.920000000002</v>
      </c>
      <c r="M15" s="23">
        <v>0.4</v>
      </c>
      <c r="N15" s="22"/>
      <c r="O15" s="23"/>
      <c r="P15" s="22"/>
      <c r="Q15" s="23"/>
      <c r="R15" s="22"/>
      <c r="S15" s="23"/>
      <c r="T15" s="24">
        <f t="shared" si="1"/>
        <v>75619.8</v>
      </c>
      <c r="U15" s="25">
        <f t="shared" si="0"/>
        <v>1</v>
      </c>
      <c r="W15" s="35"/>
    </row>
    <row r="16" spans="2:23" ht="18" customHeight="1">
      <c r="B16" s="21">
        <v>6</v>
      </c>
      <c r="C16" s="190" t="str">
        <f>Orçamento!D96</f>
        <v>REVESTIMENTOS E PINTURA</v>
      </c>
      <c r="D16" s="191"/>
      <c r="E16" s="192"/>
      <c r="F16" s="26"/>
      <c r="G16" s="27"/>
      <c r="H16" s="26"/>
      <c r="I16" s="27"/>
      <c r="J16" s="26"/>
      <c r="K16" s="27"/>
      <c r="L16" s="26">
        <f>M16*Orçamento!K110</f>
        <v>24609.278125000004</v>
      </c>
      <c r="M16" s="27">
        <v>0.5</v>
      </c>
      <c r="N16" s="26">
        <f>O16*Orçamento!K110</f>
        <v>4921.855625000001</v>
      </c>
      <c r="O16" s="27">
        <v>0.1</v>
      </c>
      <c r="P16" s="26">
        <f>Q16*Orçamento!K110</f>
        <v>19687.422500000004</v>
      </c>
      <c r="Q16" s="27">
        <v>0.4</v>
      </c>
      <c r="R16" s="26"/>
      <c r="S16" s="27"/>
      <c r="T16" s="24">
        <f t="shared" si="1"/>
        <v>49218.55625000001</v>
      </c>
      <c r="U16" s="25">
        <f t="shared" si="0"/>
        <v>1</v>
      </c>
      <c r="W16" s="35"/>
    </row>
    <row r="17" spans="2:23" ht="15">
      <c r="B17" s="21">
        <v>7</v>
      </c>
      <c r="C17" s="184" t="str">
        <f>Orçamento!D111</f>
        <v>PAVIMENTAÇÃO INTERNA E EXTERNA</v>
      </c>
      <c r="D17" s="185"/>
      <c r="E17" s="185"/>
      <c r="F17" s="22"/>
      <c r="G17" s="23"/>
      <c r="H17" s="22"/>
      <c r="I17" s="23"/>
      <c r="J17" s="22">
        <f>K17*Orçamento!K117</f>
        <v>2719.3082750000003</v>
      </c>
      <c r="K17" s="23">
        <v>0.2</v>
      </c>
      <c r="L17" s="22">
        <f>M17*Orçamento!K117</f>
        <v>4758.78948125</v>
      </c>
      <c r="M17" s="23">
        <v>0.35</v>
      </c>
      <c r="N17" s="22">
        <f>O17*Orçamento!K117</f>
        <v>4078.9624125</v>
      </c>
      <c r="O17" s="23">
        <v>0.3</v>
      </c>
      <c r="P17" s="22">
        <f>Q17*Orçamento!K117</f>
        <v>2039.48120625</v>
      </c>
      <c r="Q17" s="23">
        <v>0.15</v>
      </c>
      <c r="R17" s="22"/>
      <c r="S17" s="23"/>
      <c r="T17" s="24">
        <f t="shared" si="1"/>
        <v>13596.541375</v>
      </c>
      <c r="U17" s="25">
        <f t="shared" si="0"/>
        <v>1</v>
      </c>
      <c r="W17" s="35"/>
    </row>
    <row r="18" spans="2:23" ht="15">
      <c r="B18" s="21">
        <v>8</v>
      </c>
      <c r="C18" s="184" t="str">
        <f>Orçamento!D118</f>
        <v>INSTALAÇOES E APARELHOS </v>
      </c>
      <c r="D18" s="185"/>
      <c r="E18" s="185"/>
      <c r="F18" s="22"/>
      <c r="G18" s="23"/>
      <c r="H18" s="22"/>
      <c r="I18" s="23"/>
      <c r="J18" s="22"/>
      <c r="K18" s="23"/>
      <c r="L18" s="22">
        <f>M18*Orçamento!K179</f>
        <v>16242.808725000003</v>
      </c>
      <c r="M18" s="23">
        <v>0.55</v>
      </c>
      <c r="N18" s="22">
        <f>O18*Orçamento!K179</f>
        <v>7383.094875000001</v>
      </c>
      <c r="O18" s="23">
        <v>0.25</v>
      </c>
      <c r="P18" s="22">
        <f>Q18*Orçamento!K179</f>
        <v>5906.475900000001</v>
      </c>
      <c r="Q18" s="23">
        <v>0.2</v>
      </c>
      <c r="R18" s="22"/>
      <c r="S18" s="23"/>
      <c r="T18" s="24">
        <f t="shared" si="1"/>
        <v>29532.379500000006</v>
      </c>
      <c r="U18" s="25">
        <f t="shared" si="0"/>
        <v>1</v>
      </c>
      <c r="W18" s="35"/>
    </row>
    <row r="19" spans="2:23" ht="15">
      <c r="B19" s="21">
        <v>9</v>
      </c>
      <c r="C19" s="184" t="str">
        <f>Orçamento!D180</f>
        <v>SISTEMA DE TRATAMENTO DE EFLUENTES</v>
      </c>
      <c r="D19" s="185"/>
      <c r="E19" s="185"/>
      <c r="F19" s="22"/>
      <c r="G19" s="23"/>
      <c r="H19" s="22"/>
      <c r="I19" s="23"/>
      <c r="J19" s="22">
        <f>K19*Orçamento!K184</f>
        <v>5089.39375</v>
      </c>
      <c r="K19" s="23">
        <v>0.5</v>
      </c>
      <c r="L19" s="22">
        <f>M19*Orçamento!K184</f>
        <v>5089.39375</v>
      </c>
      <c r="M19" s="23">
        <v>0.5</v>
      </c>
      <c r="N19" s="22"/>
      <c r="O19" s="23"/>
      <c r="P19" s="22"/>
      <c r="Q19" s="23"/>
      <c r="R19" s="22"/>
      <c r="S19" s="23"/>
      <c r="T19" s="24">
        <f t="shared" si="1"/>
        <v>10178.7875</v>
      </c>
      <c r="U19" s="25">
        <f t="shared" si="0"/>
        <v>1</v>
      </c>
      <c r="W19" s="35"/>
    </row>
    <row r="20" spans="2:23" s="38" customFormat="1" ht="15">
      <c r="B20" s="21">
        <v>10</v>
      </c>
      <c r="C20" s="184" t="str">
        <f>Orçamento!D185</f>
        <v>PREVENTIVO CONTRA INCÊNDIO</v>
      </c>
      <c r="D20" s="185"/>
      <c r="E20" s="185"/>
      <c r="F20" s="22"/>
      <c r="G20" s="23"/>
      <c r="H20" s="22"/>
      <c r="I20" s="23"/>
      <c r="J20" s="22"/>
      <c r="K20" s="23"/>
      <c r="L20" s="22"/>
      <c r="M20" s="23"/>
      <c r="N20" s="22"/>
      <c r="O20" s="23"/>
      <c r="P20" s="22">
        <f>Q20*Orçamento!K202</f>
        <v>18414.6161829225</v>
      </c>
      <c r="Q20" s="23">
        <v>1.0000002</v>
      </c>
      <c r="R20" s="22"/>
      <c r="S20" s="23"/>
      <c r="T20" s="24">
        <f>F20+H20+J20+L20+R20+N20+P20</f>
        <v>18414.6161829225</v>
      </c>
      <c r="U20" s="25">
        <f>G20+I20+K20+M20+S20+O20+Q20</f>
        <v>1.0000002</v>
      </c>
      <c r="W20" s="35"/>
    </row>
    <row r="21" spans="2:23" s="38" customFormat="1" ht="15">
      <c r="B21" s="21">
        <v>11</v>
      </c>
      <c r="C21" s="184" t="str">
        <f>Orçamento!D203</f>
        <v>COMPLEMENTAÇÃO DA OBRA</v>
      </c>
      <c r="D21" s="185"/>
      <c r="E21" s="185"/>
      <c r="F21" s="22"/>
      <c r="G21" s="23"/>
      <c r="H21" s="22"/>
      <c r="I21" s="23"/>
      <c r="J21" s="22">
        <f>K21*Orçamento!K205</f>
        <v>775.5</v>
      </c>
      <c r="K21" s="23">
        <v>0.3</v>
      </c>
      <c r="L21" s="22">
        <f>M21*Orçamento!K205</f>
        <v>1034</v>
      </c>
      <c r="M21" s="23">
        <v>0.4</v>
      </c>
      <c r="N21" s="22">
        <f>O21*Orçamento!K205</f>
        <v>517</v>
      </c>
      <c r="O21" s="23">
        <v>0.2</v>
      </c>
      <c r="P21" s="22">
        <f>Q21*Orçamento!K205</f>
        <v>258.5</v>
      </c>
      <c r="Q21" s="23">
        <v>0.1</v>
      </c>
      <c r="R21" s="22"/>
      <c r="S21" s="23"/>
      <c r="T21" s="24">
        <f>F21+H21+J21+L21+R21+N21+P21</f>
        <v>2585</v>
      </c>
      <c r="U21" s="25">
        <f>G21+I21+K21+M21+S21+O21+Q21</f>
        <v>0.9999999999999999</v>
      </c>
      <c r="W21" s="35"/>
    </row>
    <row r="22" spans="2:21" ht="15">
      <c r="B22" s="186" t="s">
        <v>266</v>
      </c>
      <c r="C22" s="187"/>
      <c r="D22" s="187"/>
      <c r="E22" s="187"/>
      <c r="F22" s="28">
        <f>ROUND(SUM(F11:F21),2)</f>
        <v>84816.09</v>
      </c>
      <c r="G22" s="29">
        <f>IF($T$22&lt;&gt;0,F22*100/$T$22,0)</f>
        <v>17.324254776573603</v>
      </c>
      <c r="H22" s="28">
        <f>ROUND(SUM(H11:H21),2)</f>
        <v>114069.35</v>
      </c>
      <c r="I22" s="29">
        <f>IF($T$22&lt;&gt;0,H22*100/$T$22,0)</f>
        <v>23.299429171966615</v>
      </c>
      <c r="J22" s="28">
        <f>ROUND(SUM(J11:J21),2)</f>
        <v>137399.97</v>
      </c>
      <c r="K22" s="29">
        <f>IF($T$22&lt;&gt;0,J22*100/$T$22,0)</f>
        <v>28.064864656854255</v>
      </c>
      <c r="L22" s="28">
        <f>ROUND(SUM(L11:L21),2)</f>
        <v>90087.2</v>
      </c>
      <c r="M22" s="29">
        <f>IF($T$22&lt;&gt;0,L22*100/$T$22,0)</f>
        <v>18.40091431835801</v>
      </c>
      <c r="N22" s="28">
        <f>ROUND(SUM(N11:N21),2)</f>
        <v>16900.91</v>
      </c>
      <c r="O22" s="29">
        <f>IF($T$22&lt;&gt;0,N22*100/$T$22,0)</f>
        <v>3.452124128758359</v>
      </c>
      <c r="P22" s="28">
        <f>ROUND(SUM(P11:P21),2)</f>
        <v>46306.5</v>
      </c>
      <c r="Q22" s="29">
        <f>IF($T$22&lt;&gt;0,P22*100/$T$22,0)</f>
        <v>9.458412947489157</v>
      </c>
      <c r="R22" s="28">
        <f>ROUND(SUM(R11:R21),2)</f>
        <v>0</v>
      </c>
      <c r="S22" s="29">
        <f>IF($Z$11&lt;&gt;0,R22*100/$Z$11,0)</f>
        <v>0</v>
      </c>
      <c r="T22" s="24">
        <f>(F22+H22+J22+L22+N22+P22+R22)</f>
        <v>489580.02</v>
      </c>
      <c r="U22" s="30">
        <f>G22+I22+K22+M22+S22+O22+Q22</f>
        <v>99.99999999999999</v>
      </c>
    </row>
    <row r="23" spans="2:23" ht="15.75" thickBot="1">
      <c r="B23" s="188" t="s">
        <v>267</v>
      </c>
      <c r="C23" s="189"/>
      <c r="D23" s="189"/>
      <c r="E23" s="189"/>
      <c r="F23" s="31">
        <f>F22</f>
        <v>84816.09</v>
      </c>
      <c r="G23" s="32">
        <f>G22</f>
        <v>17.324254776573603</v>
      </c>
      <c r="H23" s="31">
        <f aca="true" t="shared" si="2" ref="H23:Q23">F23+H22</f>
        <v>198885.44</v>
      </c>
      <c r="I23" s="32">
        <f>G23+I22</f>
        <v>40.62368394854022</v>
      </c>
      <c r="J23" s="31">
        <f t="shared" si="2"/>
        <v>336285.41000000003</v>
      </c>
      <c r="K23" s="32">
        <f t="shared" si="2"/>
        <v>68.68854860539447</v>
      </c>
      <c r="L23" s="31">
        <f t="shared" si="2"/>
        <v>426372.61000000004</v>
      </c>
      <c r="M23" s="32">
        <f t="shared" si="2"/>
        <v>87.08946292375248</v>
      </c>
      <c r="N23" s="31">
        <f>N22+L23</f>
        <v>443273.52</v>
      </c>
      <c r="O23" s="32">
        <f t="shared" si="2"/>
        <v>90.54158705251083</v>
      </c>
      <c r="P23" s="31">
        <f>P22+N23</f>
        <v>489580.02</v>
      </c>
      <c r="Q23" s="32">
        <f t="shared" si="2"/>
        <v>99.99999999999999</v>
      </c>
      <c r="R23" s="31">
        <v>0</v>
      </c>
      <c r="S23" s="32">
        <v>0</v>
      </c>
      <c r="T23" s="33"/>
      <c r="U23" s="34"/>
      <c r="W23" s="35"/>
    </row>
    <row r="24" spans="2:21" ht="1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</row>
    <row r="25" spans="2:21" s="38" customFormat="1" ht="15" customHeight="1">
      <c r="B25" s="216">
        <v>41946</v>
      </c>
      <c r="C25" s="216"/>
      <c r="D25" s="49"/>
      <c r="E25" s="107" t="s">
        <v>394</v>
      </c>
      <c r="F25" s="107"/>
      <c r="I25" s="5" t="s">
        <v>394</v>
      </c>
      <c r="J25" s="5"/>
      <c r="K25" s="5"/>
      <c r="L25" s="5"/>
      <c r="P25" s="107" t="s">
        <v>409</v>
      </c>
      <c r="Q25" s="107"/>
      <c r="R25" s="107"/>
      <c r="S25" s="107"/>
      <c r="T25" s="107"/>
      <c r="U25" s="49"/>
    </row>
    <row r="26" spans="2:20" ht="15" customHeight="1">
      <c r="B26" s="108" t="s">
        <v>15</v>
      </c>
      <c r="C26" s="108"/>
      <c r="E26" s="108" t="s">
        <v>279</v>
      </c>
      <c r="F26" s="108"/>
      <c r="I26" s="108" t="s">
        <v>403</v>
      </c>
      <c r="J26" s="108"/>
      <c r="K26" s="108"/>
      <c r="L26" s="108"/>
      <c r="P26" s="108" t="s">
        <v>407</v>
      </c>
      <c r="Q26" s="108"/>
      <c r="R26" s="108"/>
      <c r="S26" s="108"/>
      <c r="T26" s="108"/>
    </row>
    <row r="27" spans="5:20" ht="15" customHeight="1">
      <c r="E27" s="108" t="s">
        <v>355</v>
      </c>
      <c r="F27" s="108"/>
      <c r="I27" s="108" t="s">
        <v>406</v>
      </c>
      <c r="J27" s="108"/>
      <c r="K27" s="108"/>
      <c r="L27" s="108"/>
      <c r="O27" s="38"/>
      <c r="P27" s="108" t="s">
        <v>408</v>
      </c>
      <c r="Q27" s="108"/>
      <c r="R27" s="108"/>
      <c r="S27" s="108"/>
      <c r="T27" s="108"/>
    </row>
    <row r="28" spans="6:16" ht="15">
      <c r="F28" s="182"/>
      <c r="G28" s="182"/>
      <c r="H28" s="182"/>
      <c r="I28" s="182"/>
      <c r="M28" s="182"/>
      <c r="N28" s="182"/>
      <c r="O28" s="182"/>
      <c r="P28" s="182"/>
    </row>
    <row r="29" spans="6:16" ht="15">
      <c r="F29" s="182"/>
      <c r="G29" s="182"/>
      <c r="H29" s="182"/>
      <c r="I29" s="182"/>
      <c r="M29" s="182"/>
      <c r="N29" s="182"/>
      <c r="O29" s="182"/>
      <c r="P29" s="182"/>
    </row>
  </sheetData>
  <sheetProtection/>
  <mergeCells count="47">
    <mergeCell ref="I26:L26"/>
    <mergeCell ref="I27:L27"/>
    <mergeCell ref="P27:T27"/>
    <mergeCell ref="P26:T26"/>
    <mergeCell ref="P25:T25"/>
    <mergeCell ref="F9:G9"/>
    <mergeCell ref="R9:S9"/>
    <mergeCell ref="L9:M9"/>
    <mergeCell ref="B6:I6"/>
    <mergeCell ref="B25:C25"/>
    <mergeCell ref="B26:C26"/>
    <mergeCell ref="E25:F25"/>
    <mergeCell ref="E26:F26"/>
    <mergeCell ref="C15:E15"/>
    <mergeCell ref="H9:I9"/>
    <mergeCell ref="C8:E10"/>
    <mergeCell ref="F8:S8"/>
    <mergeCell ref="C11:E11"/>
    <mergeCell ref="C12:E12"/>
    <mergeCell ref="C13:E13"/>
    <mergeCell ref="C14:E14"/>
    <mergeCell ref="N9:O9"/>
    <mergeCell ref="P9:Q9"/>
    <mergeCell ref="B2:U3"/>
    <mergeCell ref="T6:U7"/>
    <mergeCell ref="B7:H7"/>
    <mergeCell ref="I7:S7"/>
    <mergeCell ref="T8:U9"/>
    <mergeCell ref="J9:K9"/>
    <mergeCell ref="B4:S4"/>
    <mergeCell ref="T4:U5"/>
    <mergeCell ref="B5:S5"/>
    <mergeCell ref="B8:B10"/>
    <mergeCell ref="B24:U24"/>
    <mergeCell ref="C18:E18"/>
    <mergeCell ref="C19:E19"/>
    <mergeCell ref="B22:E22"/>
    <mergeCell ref="B23:E23"/>
    <mergeCell ref="C16:E16"/>
    <mergeCell ref="C17:E17"/>
    <mergeCell ref="C20:E20"/>
    <mergeCell ref="C21:E21"/>
    <mergeCell ref="F28:I28"/>
    <mergeCell ref="F29:I29"/>
    <mergeCell ref="M28:P28"/>
    <mergeCell ref="M29:P29"/>
    <mergeCell ref="E27:F27"/>
  </mergeCells>
  <printOptions/>
  <pageMargins left="0.5118110236220472" right="0.5118110236220472" top="1.5748031496062993" bottom="0.7874015748031497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Luciano Bottega</dc:creator>
  <cp:keywords/>
  <dc:description/>
  <cp:lastModifiedBy>Andressa</cp:lastModifiedBy>
  <cp:lastPrinted>2014-11-05T13:41:48Z</cp:lastPrinted>
  <dcterms:created xsi:type="dcterms:W3CDTF">2012-10-31T15:23:00Z</dcterms:created>
  <dcterms:modified xsi:type="dcterms:W3CDTF">2014-11-05T13:42:17Z</dcterms:modified>
  <cp:category/>
  <cp:version/>
  <cp:contentType/>
  <cp:contentStatus/>
</cp:coreProperties>
</file>